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externalLinks/externalLink1.xml" ContentType="application/vnd.openxmlformats-officedocument.spreadsheetml.externalLink+xml"/>
  <Override PartName="/xl/drawings/drawing20.xml" ContentType="application/vnd.openxmlformats-officedocument.drawing+xml"/>
  <Override PartName="/xl/drawings/drawing31.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externalLinks/externalLink8.xml" ContentType="application/vnd.openxmlformats-officedocument.spreadsheetml.externalLink+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drawings/drawing52.xml" ContentType="application/vnd.openxmlformats-officedocument.drawing+xml"/>
  <Override PartName="/xl/drawings/drawing12.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externalLinks/externalLink7.xml" ContentType="application/vnd.openxmlformats-officedocument.spreadsheetml.externalLink+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Override PartName="/xl/drawings/drawing5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Override PartName="/xl/worksheets/sheet49.xml" ContentType="application/vnd.openxmlformats-officedocument.spreadsheetml.worksheet+xml"/>
  <Override PartName="/xl/drawings/drawing11.xml" ContentType="application/vnd.openxmlformats-officedocument.drawing+xml"/>
  <Override PartName="/xl/drawings/drawing40.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Objects="placeholders" codeName="ThisWorkbook"/>
  <bookViews>
    <workbookView xWindow="9705" yWindow="-15" windowWidth="9540" windowHeight="11325" tabRatio="911" activeTab="11"/>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 sheetId="60" r:id="rId15"/>
    <sheet name="4. Zn-Ni KH" sheetId="121" r:id="rId16"/>
    <sheet name="XM.GUI MAIL" sheetId="24" r:id="rId17"/>
    <sheet name="1. XL-1E TT" sheetId="61" r:id="rId18"/>
    <sheet name="2. XL-1F TT " sheetId="54" r:id="rId19"/>
    <sheet name="3.XT-C TT" sheetId="56" r:id="rId20"/>
    <sheet name="4.ZN-NI tt(CA1)" sheetId="117" r:id="rId21"/>
    <sheet name="1. XL-1E TT(CA2)" sheetId="113" r:id="rId22"/>
    <sheet name="2. XL-1F TT(CA2)" sheetId="114" r:id="rId23"/>
    <sheet name="3.XT-C TT(CA2)" sheetId="115" r:id="rId24"/>
    <sheet name="4.ZN-NI tt(CA2)" sheetId="118" r:id="rId25"/>
    <sheet name="XM.chart" sheetId="62" r:id="rId26"/>
    <sheet name="XM.chart 1" sheetId="69" r:id="rId27"/>
    <sheet name="BS-XT" sheetId="119" r:id="rId28"/>
    <sheet name="ED-XI DEN" sheetId="75" r:id="rId29"/>
    <sheet name="R.HN" sheetId="76" r:id="rId30"/>
    <sheet name="R.FILE GOC" sheetId="77" r:id="rId31"/>
    <sheet name="1.xi den" sheetId="78" r:id="rId32"/>
    <sheet name="2.RL E" sheetId="79" r:id="rId33"/>
    <sheet name="3.RL G" sheetId="80" r:id="rId34"/>
    <sheet name="4.RL F" sheetId="81" r:id="rId35"/>
    <sheet name="5.ML" sheetId="82" r:id="rId36"/>
    <sheet name="1.xi den TT" sheetId="83" r:id="rId37"/>
    <sheet name="2.RL E tt" sheetId="84" r:id="rId38"/>
    <sheet name="3.RL G tt" sheetId="85" r:id="rId39"/>
    <sheet name="4.RL F tt" sheetId="86" r:id="rId40"/>
    <sheet name="5.ML tt" sheetId="87" r:id="rId41"/>
    <sheet name="R.GUI MAIL" sheetId="88" r:id="rId42"/>
    <sheet name="RL-LINE" sheetId="89" r:id="rId43"/>
    <sheet name="RL.chart" sheetId="90" r:id="rId44"/>
    <sheet name="RL.chart1" sheetId="91" r:id="rId45"/>
    <sheet name="ACID Đ.VAO" sheetId="94" r:id="rId46"/>
    <sheet name="GHI CHU" sheetId="65" r:id="rId47"/>
    <sheet name="tg import" sheetId="110" r:id="rId48"/>
    <sheet name="IT.NONG DO" sheetId="74" r:id="rId49"/>
    <sheet name="IT.NHIET DO" sheetId="92" r:id="rId50"/>
    <sheet name="3'.XT-C KH" sheetId="122" r:id="rId51"/>
    <sheet name="3''.XT-C KH" sheetId="120" r:id="rId52"/>
    <sheet name="SOP HOA NGHIEM" sheetId="123" r:id="rId53"/>
  </sheets>
  <externalReferences>
    <externalReference r:id="rId54"/>
    <externalReference r:id="rId55"/>
    <externalReference r:id="rId56"/>
    <externalReference r:id="rId57"/>
    <externalReference r:id="rId58"/>
    <externalReference r:id="rId59"/>
    <externalReference r:id="rId60"/>
    <externalReference r:id="rId61"/>
  </externalReferences>
  <definedNames>
    <definedName name="_NEW2">[1]吊電B線入出料標準數據!$B$4:$P$4003</definedName>
    <definedName name="_XM_XT_THUCTE" localSheetId="27">'[2]XM.GUI MAIL'!$A$6:$AQ$108</definedName>
    <definedName name="_XM_XT_THUCTE" localSheetId="52">'SOP HOA NGHIEM'!$B$3:$B$41</definedName>
    <definedName name="_XM_XT_THUCTE">'XM.GUI MAIL'!$A$6:$AW$121</definedName>
    <definedName name="AB" localSheetId="21">#REF!</definedName>
    <definedName name="AB" localSheetId="22">#REF!</definedName>
    <definedName name="AB" localSheetId="50">#REF!</definedName>
    <definedName name="AB" localSheetId="51">#REF!</definedName>
    <definedName name="AB" localSheetId="23">#REF!</definedName>
    <definedName name="AB" localSheetId="15">#REF!</definedName>
    <definedName name="AB" localSheetId="20">#REF!</definedName>
    <definedName name="AB" localSheetId="24">#REF!</definedName>
    <definedName name="AB" localSheetId="27">#REF!</definedName>
    <definedName name="AB" localSheetId="52">#REF!</definedName>
    <definedName name="AB">#REF!</definedName>
    <definedName name="abcd" localSheetId="1">#REF!</definedName>
    <definedName name="abcd" localSheetId="2">#REF!</definedName>
    <definedName name="abcd" localSheetId="3">#REF!</definedName>
    <definedName name="abcd" localSheetId="4">#REF!</definedName>
    <definedName name="abcd" localSheetId="20">#REF!</definedName>
    <definedName name="abcd" localSheetId="24">#REF!</definedName>
    <definedName name="abcd" localSheetId="5">#REF!</definedName>
    <definedName name="abcd" localSheetId="6">#REF!</definedName>
    <definedName name="abcd" localSheetId="7">#REF!</definedName>
    <definedName name="abcd" localSheetId="8">#REF!</definedName>
    <definedName name="CCC" localSheetId="21">#REF!</definedName>
    <definedName name="CCC" localSheetId="22">#REF!</definedName>
    <definedName name="CCC" localSheetId="50">#REF!</definedName>
    <definedName name="CCC" localSheetId="51">#REF!</definedName>
    <definedName name="CCC" localSheetId="23">#REF!</definedName>
    <definedName name="CCC" localSheetId="15">#REF!</definedName>
    <definedName name="CCC" localSheetId="20">#REF!</definedName>
    <definedName name="CCC" localSheetId="24">#REF!</definedName>
    <definedName name="CCC" localSheetId="27">#REF!</definedName>
    <definedName name="CCC" localSheetId="52">#REF!</definedName>
    <definedName name="CCC">#REF!</definedName>
    <definedName name="CXXTA" localSheetId="21">#REF!</definedName>
    <definedName name="CXXTA" localSheetId="22">#REF!</definedName>
    <definedName name="CXXTA" localSheetId="50">#REF!</definedName>
    <definedName name="CXXTA" localSheetId="51">#REF!</definedName>
    <definedName name="CXXTA" localSheetId="23">#REF!</definedName>
    <definedName name="CXXTA" localSheetId="15">#REF!</definedName>
    <definedName name="CXXTA" localSheetId="20">#REF!</definedName>
    <definedName name="CXXTA" localSheetId="24">#REF!</definedName>
    <definedName name="CXXTA" localSheetId="27">#REF!</definedName>
    <definedName name="CXXTA" localSheetId="52">#REF!</definedName>
    <definedName name="CXXTA">#REF!</definedName>
    <definedName name="CXXTB">[1]吊電B線入出料標準數據!$B$3:$P$428</definedName>
    <definedName name="HUANGHAIDONGA" localSheetId="21">#REF!</definedName>
    <definedName name="HUANGHAIDONGA" localSheetId="22">#REF!</definedName>
    <definedName name="HUANGHAIDONGA" localSheetId="50">#REF!</definedName>
    <definedName name="HUANGHAIDONGA" localSheetId="51">#REF!</definedName>
    <definedName name="HUANGHAIDONGA" localSheetId="23">#REF!</definedName>
    <definedName name="HUANGHAIDONGA" localSheetId="15">#REF!</definedName>
    <definedName name="HUANGHAIDONGA" localSheetId="20">#REF!</definedName>
    <definedName name="HUANGHAIDONGA" localSheetId="24">#REF!</definedName>
    <definedName name="HUANGHAIDONGA" localSheetId="27">#REF!</definedName>
    <definedName name="HUANGHAIDONGA" localSheetId="52">#REF!</definedName>
    <definedName name="HUANGHAIDONGA">#REF!</definedName>
    <definedName name="HUANGHAIDONGB">[1]吊電B線入出料標準數據!$A$3:$P$428</definedName>
    <definedName name="PartNo">[3]All!$B$5:$Q$65536</definedName>
    <definedName name="_xlnm.Print_Area" localSheetId="12">'1. XL-1E kh'!$A$1:$AG$79</definedName>
    <definedName name="_xlnm.Print_Area" localSheetId="13">'2. XL-1F kh'!$A$1:$AG$75</definedName>
    <definedName name="_xlnm.Print_Area" localSheetId="32">'2.RL E'!$A$1:$S$42</definedName>
    <definedName name="_xlnm.Print_Area" localSheetId="37">'2.RL E tt'!$A$1:$S$44</definedName>
    <definedName name="_xlnm.Print_Area" localSheetId="33">'3.RL G'!$A$1:$Q$35</definedName>
    <definedName name="_xlnm.Print_Area" localSheetId="38">'3.RL G tt'!$A$1:$Q$35</definedName>
    <definedName name="_xlnm.Print_Area" localSheetId="51">'3''''.XT-C KH'!$A$1:$AG$83</definedName>
    <definedName name="_xlnm.Print_Area" localSheetId="15">'4. Zn-Ni KH'!$A$1:$AG$69</definedName>
    <definedName name="_xlnm.Print_Area" localSheetId="34">'4.RL F'!$A$1:$R$42</definedName>
    <definedName name="_xlnm.Print_Area" localSheetId="39">'4.RL F tt'!$A$1:$R$44</definedName>
    <definedName name="_xlnm.Print_Area" localSheetId="20">'4.ZN-NI tt(CA1)'!$A$1:$T$23</definedName>
    <definedName name="_xlnm.Print_Area" localSheetId="24">'4.ZN-NI tt(CA2)'!$A$1:$T$23</definedName>
    <definedName name="_xlnm.Print_Area" localSheetId="35">'5.ML'!$A$1:$R$33</definedName>
    <definedName name="_xlnm.Print_Area" localSheetId="40">'5.ML tt'!$A$1:$R$33</definedName>
    <definedName name="_xlnm.Print_Area" localSheetId="45">'ACID Đ.VAO'!$C$1:$I$8</definedName>
    <definedName name="_xlnm.Print_Area" localSheetId="0">'PT TAP CHAT'!$B$1:$G$79</definedName>
    <definedName name="RLMLXD" localSheetId="27">'[2]R.GUI MAIL'!$A$6:$AQ$114</definedName>
    <definedName name="RLMLXD">'R.GUI MAIL'!$A$6:$AQ$114</definedName>
    <definedName name="sss">'[4]附表-01'!$A$2:$L$1662</definedName>
    <definedName name="WUJIWEI" localSheetId="21">#REF!</definedName>
    <definedName name="WUJIWEI" localSheetId="22">#REF!</definedName>
    <definedName name="WUJIWEI" localSheetId="50">#REF!</definedName>
    <definedName name="WUJIWEI" localSheetId="51">#REF!</definedName>
    <definedName name="WUJIWEI" localSheetId="23">#REF!</definedName>
    <definedName name="WUJIWEI" localSheetId="15">#REF!</definedName>
    <definedName name="WUJIWEI" localSheetId="20">#REF!</definedName>
    <definedName name="WUJIWEI" localSheetId="24">#REF!</definedName>
    <definedName name="WUJIWEI" localSheetId="27">#REF!</definedName>
    <definedName name="WUJIWEI" localSheetId="52">#REF!</definedName>
    <definedName name="WUJIWEI">#REF!</definedName>
    <definedName name="XTB123" localSheetId="21">[5]輸入!#REF!</definedName>
    <definedName name="XTB123" localSheetId="22">[5]輸入!#REF!</definedName>
    <definedName name="XTB123" localSheetId="50">[5]輸入!#REF!</definedName>
    <definedName name="XTB123" localSheetId="51">[5]輸入!#REF!</definedName>
    <definedName name="XTB123" localSheetId="23">[5]輸入!#REF!</definedName>
    <definedName name="XTB123" localSheetId="15">[5]輸入!#REF!</definedName>
    <definedName name="XTB123" localSheetId="20">[5]輸入!#REF!</definedName>
    <definedName name="XTB123" localSheetId="24">[5]輸入!#REF!</definedName>
    <definedName name="XTB123" localSheetId="27">[5]輸入!#REF!</definedName>
    <definedName name="XTB123" localSheetId="52">[5]輸入!#REF!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D10" i="56"/>
  <c r="AD6"/>
  <c r="X59" i="24"/>
  <c r="AD12" i="54"/>
  <c r="AD10"/>
  <c r="X60" i="10"/>
  <c r="X59"/>
  <c r="Q60" l="1"/>
  <c r="G17" l="1"/>
  <c r="G16"/>
  <c r="AX54" i="60"/>
  <c r="AX52"/>
  <c r="AX51"/>
  <c r="BF54"/>
  <c r="BF52"/>
  <c r="BF51"/>
  <c r="BN54"/>
  <c r="BN52"/>
  <c r="BN51"/>
  <c r="BN9"/>
  <c r="BN7"/>
  <c r="BN6"/>
  <c r="BF9"/>
  <c r="BF7"/>
  <c r="BF6"/>
  <c r="AX9"/>
  <c r="AX7"/>
  <c r="AX6"/>
  <c r="AV54"/>
  <c r="AV52"/>
  <c r="AV51"/>
  <c r="BD54"/>
  <c r="BD52"/>
  <c r="BD51"/>
  <c r="BL54"/>
  <c r="BL52"/>
  <c r="BL51"/>
  <c r="BL9"/>
  <c r="BL7"/>
  <c r="BL6"/>
  <c r="BD9"/>
  <c r="BD7"/>
  <c r="BD6"/>
  <c r="AV9"/>
  <c r="AV7"/>
  <c r="AV6"/>
  <c r="P70"/>
  <c r="P68"/>
  <c r="P67"/>
  <c r="P66"/>
  <c r="P65"/>
  <c r="P64"/>
  <c r="P63"/>
  <c r="P61"/>
  <c r="P60"/>
  <c r="P59"/>
  <c r="P58"/>
  <c r="P57"/>
  <c r="P56"/>
  <c r="P55"/>
  <c r="P54"/>
  <c r="P53"/>
  <c r="P52"/>
  <c r="P51"/>
  <c r="X70"/>
  <c r="X68"/>
  <c r="X67"/>
  <c r="X66"/>
  <c r="X65"/>
  <c r="X64"/>
  <c r="X63"/>
  <c r="X61"/>
  <c r="X60"/>
  <c r="X59"/>
  <c r="X58"/>
  <c r="X57"/>
  <c r="X56"/>
  <c r="X55"/>
  <c r="X54"/>
  <c r="X53"/>
  <c r="X52"/>
  <c r="X51"/>
  <c r="AF70"/>
  <c r="AF68"/>
  <c r="AF67"/>
  <c r="AF66"/>
  <c r="AF65"/>
  <c r="AF64"/>
  <c r="AF63"/>
  <c r="AF61"/>
  <c r="AF60"/>
  <c r="AF59"/>
  <c r="AF58"/>
  <c r="AF57"/>
  <c r="AF56"/>
  <c r="AF55"/>
  <c r="AF54"/>
  <c r="AF53"/>
  <c r="AF52"/>
  <c r="AF51"/>
  <c r="AF25"/>
  <c r="AF23"/>
  <c r="AF22"/>
  <c r="AF21"/>
  <c r="AF20"/>
  <c r="AF18"/>
  <c r="AF13"/>
  <c r="AF12"/>
  <c r="AF11"/>
  <c r="AF10"/>
  <c r="AF9"/>
  <c r="AF8"/>
  <c r="AF7"/>
  <c r="AF6"/>
  <c r="X25"/>
  <c r="X22"/>
  <c r="X21"/>
  <c r="X20"/>
  <c r="X19"/>
  <c r="X18"/>
  <c r="X16"/>
  <c r="X15"/>
  <c r="X14"/>
  <c r="X13"/>
  <c r="X12"/>
  <c r="X11"/>
  <c r="X10"/>
  <c r="X9"/>
  <c r="X8"/>
  <c r="X7"/>
  <c r="X6"/>
  <c r="N70"/>
  <c r="N69"/>
  <c r="N68"/>
  <c r="N67"/>
  <c r="N66"/>
  <c r="N65"/>
  <c r="N64"/>
  <c r="N63"/>
  <c r="N61"/>
  <c r="N60"/>
  <c r="N59"/>
  <c r="N58"/>
  <c r="N57"/>
  <c r="N56"/>
  <c r="N55"/>
  <c r="N54"/>
  <c r="N53"/>
  <c r="N52"/>
  <c r="N51"/>
  <c r="AD70"/>
  <c r="AD69"/>
  <c r="AD68"/>
  <c r="AD67"/>
  <c r="AD66"/>
  <c r="AD65"/>
  <c r="AD64"/>
  <c r="AD63"/>
  <c r="AD61"/>
  <c r="AD60"/>
  <c r="AD59"/>
  <c r="AD58"/>
  <c r="AD57"/>
  <c r="AD56"/>
  <c r="AD55"/>
  <c r="AD54"/>
  <c r="AD53"/>
  <c r="AD52"/>
  <c r="AD51"/>
  <c r="V70"/>
  <c r="V69"/>
  <c r="V68"/>
  <c r="V67"/>
  <c r="V66"/>
  <c r="V65"/>
  <c r="V64"/>
  <c r="V63"/>
  <c r="V61"/>
  <c r="V60"/>
  <c r="V59"/>
  <c r="V58"/>
  <c r="V57"/>
  <c r="V56"/>
  <c r="V55"/>
  <c r="V54"/>
  <c r="V53"/>
  <c r="V52"/>
  <c r="V51"/>
  <c r="AD25"/>
  <c r="AD24"/>
  <c r="AD23"/>
  <c r="AD22"/>
  <c r="AD21"/>
  <c r="AD20"/>
  <c r="AD19"/>
  <c r="AD18"/>
  <c r="AD16"/>
  <c r="AD15"/>
  <c r="AD14"/>
  <c r="AD13"/>
  <c r="AD12"/>
  <c r="AD11"/>
  <c r="AD10"/>
  <c r="AD9"/>
  <c r="AD8"/>
  <c r="AD7"/>
  <c r="AD6"/>
  <c r="V25"/>
  <c r="V24"/>
  <c r="V23"/>
  <c r="V22"/>
  <c r="V21"/>
  <c r="V20"/>
  <c r="V19"/>
  <c r="V18"/>
  <c r="V16"/>
  <c r="V15"/>
  <c r="V14"/>
  <c r="V13"/>
  <c r="V12"/>
  <c r="V11"/>
  <c r="V10"/>
  <c r="V9"/>
  <c r="V8"/>
  <c r="V7"/>
  <c r="V6"/>
  <c r="P19"/>
  <c r="P16"/>
  <c r="P14"/>
  <c r="P11"/>
  <c r="P10"/>
  <c r="N25"/>
  <c r="N24"/>
  <c r="N23"/>
  <c r="N22"/>
  <c r="N21"/>
  <c r="N20"/>
  <c r="N19"/>
  <c r="N18"/>
  <c r="N16"/>
  <c r="N15"/>
  <c r="N14"/>
  <c r="N13"/>
  <c r="N12"/>
  <c r="N11"/>
  <c r="N10"/>
  <c r="N9"/>
  <c r="N8"/>
  <c r="N7"/>
  <c r="N6"/>
  <c r="P59" i="58"/>
  <c r="P56"/>
  <c r="P54"/>
  <c r="P51"/>
  <c r="P49"/>
  <c r="P48"/>
  <c r="P47"/>
  <c r="P46"/>
  <c r="P45"/>
  <c r="P44"/>
  <c r="X60"/>
  <c r="X59"/>
  <c r="X54"/>
  <c r="X51"/>
  <c r="X50"/>
  <c r="X49"/>
  <c r="X48"/>
  <c r="X47"/>
  <c r="X46"/>
  <c r="X45"/>
  <c r="X44"/>
  <c r="AF60"/>
  <c r="AF59"/>
  <c r="AF56"/>
  <c r="AF52"/>
  <c r="AF51"/>
  <c r="AF50"/>
  <c r="AF49"/>
  <c r="AF48"/>
  <c r="AF47"/>
  <c r="AF46"/>
  <c r="AF45"/>
  <c r="AF44"/>
  <c r="AF22"/>
  <c r="AF21"/>
  <c r="AF18"/>
  <c r="AF16"/>
  <c r="AF13"/>
  <c r="AF12"/>
  <c r="AF11"/>
  <c r="AF10"/>
  <c r="AF9"/>
  <c r="AF8"/>
  <c r="AF7"/>
  <c r="AF6"/>
  <c r="X22"/>
  <c r="X21"/>
  <c r="X18"/>
  <c r="X16"/>
  <c r="X14"/>
  <c r="X13"/>
  <c r="X12"/>
  <c r="X11"/>
  <c r="X10"/>
  <c r="X9"/>
  <c r="X8"/>
  <c r="X7"/>
  <c r="X6"/>
  <c r="P16"/>
  <c r="P11"/>
  <c r="N60"/>
  <c r="N59"/>
  <c r="N58"/>
  <c r="N57"/>
  <c r="N56"/>
  <c r="N55"/>
  <c r="N54"/>
  <c r="N53"/>
  <c r="N52"/>
  <c r="N51"/>
  <c r="N50"/>
  <c r="N49"/>
  <c r="N48"/>
  <c r="N47"/>
  <c r="N46"/>
  <c r="N45"/>
  <c r="N44"/>
  <c r="V60"/>
  <c r="V59"/>
  <c r="V58"/>
  <c r="V57"/>
  <c r="V56"/>
  <c r="V55"/>
  <c r="V54"/>
  <c r="V53"/>
  <c r="V52"/>
  <c r="V51"/>
  <c r="V50"/>
  <c r="V49"/>
  <c r="V48"/>
  <c r="V47"/>
  <c r="V46"/>
  <c r="V45"/>
  <c r="V44"/>
  <c r="AD60"/>
  <c r="AD59"/>
  <c r="AD58"/>
  <c r="AD57"/>
  <c r="AD56"/>
  <c r="AD55"/>
  <c r="AD54"/>
  <c r="AD53"/>
  <c r="AD52"/>
  <c r="AD51"/>
  <c r="AD50"/>
  <c r="AD49"/>
  <c r="AD48"/>
  <c r="AD47"/>
  <c r="AD46"/>
  <c r="AD45"/>
  <c r="AD44"/>
  <c r="AD22"/>
  <c r="AD21"/>
  <c r="AD20"/>
  <c r="AD19"/>
  <c r="AD18"/>
  <c r="AD17"/>
  <c r="AD16"/>
  <c r="AD15"/>
  <c r="AD14"/>
  <c r="AD13"/>
  <c r="AD12"/>
  <c r="AD11"/>
  <c r="AD10"/>
  <c r="AD9"/>
  <c r="AD8"/>
  <c r="AD7"/>
  <c r="AD6"/>
  <c r="V22"/>
  <c r="V21"/>
  <c r="V20"/>
  <c r="V19"/>
  <c r="V18"/>
  <c r="V17"/>
  <c r="V16"/>
  <c r="V15"/>
  <c r="V14"/>
  <c r="V13"/>
  <c r="V12"/>
  <c r="V11"/>
  <c r="V10"/>
  <c r="V9"/>
  <c r="V8"/>
  <c r="V7"/>
  <c r="V6"/>
  <c r="N15"/>
  <c r="N16"/>
  <c r="N17"/>
  <c r="N18"/>
  <c r="N19"/>
  <c r="N20"/>
  <c r="N21"/>
  <c r="N22"/>
  <c r="N14"/>
  <c r="N13"/>
  <c r="N12"/>
  <c r="N11"/>
  <c r="N10"/>
  <c r="N9"/>
  <c r="N8"/>
  <c r="N7"/>
  <c r="N6"/>
  <c r="P64" i="46"/>
  <c r="P63"/>
  <c r="P60"/>
  <c r="P58"/>
  <c r="P55"/>
  <c r="P54"/>
  <c r="P53"/>
  <c r="P52"/>
  <c r="P51"/>
  <c r="P50"/>
  <c r="P49"/>
  <c r="P48"/>
  <c r="P47"/>
  <c r="P46"/>
  <c r="X64"/>
  <c r="X63"/>
  <c r="X60"/>
  <c r="X58"/>
  <c r="X55"/>
  <c r="X54"/>
  <c r="X53"/>
  <c r="X52"/>
  <c r="X51"/>
  <c r="X50"/>
  <c r="X49"/>
  <c r="X48"/>
  <c r="X47"/>
  <c r="X46"/>
  <c r="AF64"/>
  <c r="AF63"/>
  <c r="AF60"/>
  <c r="AF58"/>
  <c r="AF55"/>
  <c r="AF53"/>
  <c r="AF52"/>
  <c r="AF51"/>
  <c r="AF50"/>
  <c r="AF49"/>
  <c r="AF48"/>
  <c r="AF47"/>
  <c r="AF46"/>
  <c r="AF24"/>
  <c r="AF23"/>
  <c r="AF20"/>
  <c r="AF18"/>
  <c r="AF15"/>
  <c r="AF14"/>
  <c r="AF13"/>
  <c r="AF12"/>
  <c r="AF11"/>
  <c r="AF10"/>
  <c r="AF9"/>
  <c r="AF8"/>
  <c r="AF7"/>
  <c r="AF6"/>
  <c r="X24"/>
  <c r="X23"/>
  <c r="X20"/>
  <c r="X18"/>
  <c r="X15"/>
  <c r="X14"/>
  <c r="X13"/>
  <c r="X12"/>
  <c r="X11"/>
  <c r="X10"/>
  <c r="X9"/>
  <c r="X8"/>
  <c r="X7"/>
  <c r="X6"/>
  <c r="P24"/>
  <c r="P23"/>
  <c r="P20"/>
  <c r="P18"/>
  <c r="AD64"/>
  <c r="AD63"/>
  <c r="AD62"/>
  <c r="AD61"/>
  <c r="AD60"/>
  <c r="AD59"/>
  <c r="AD58"/>
  <c r="AD57"/>
  <c r="AD56"/>
  <c r="AD55"/>
  <c r="AD54"/>
  <c r="AD53"/>
  <c r="AD52"/>
  <c r="AD51"/>
  <c r="AD50"/>
  <c r="AD49"/>
  <c r="AD48"/>
  <c r="AD47"/>
  <c r="AD46"/>
  <c r="V64"/>
  <c r="V63"/>
  <c r="V62"/>
  <c r="V61"/>
  <c r="V60"/>
  <c r="V59"/>
  <c r="V58"/>
  <c r="V57"/>
  <c r="V56"/>
  <c r="V55"/>
  <c r="V54"/>
  <c r="V53"/>
  <c r="V52"/>
  <c r="V51"/>
  <c r="V50"/>
  <c r="V49"/>
  <c r="V48"/>
  <c r="V47"/>
  <c r="V46"/>
  <c r="N64"/>
  <c r="N63"/>
  <c r="N62"/>
  <c r="N61"/>
  <c r="N60"/>
  <c r="N59"/>
  <c r="N58"/>
  <c r="N57"/>
  <c r="N56"/>
  <c r="N55"/>
  <c r="N54"/>
  <c r="N53"/>
  <c r="N52"/>
  <c r="N51"/>
  <c r="N50"/>
  <c r="N49"/>
  <c r="N48"/>
  <c r="N47"/>
  <c r="N46"/>
  <c r="AD24"/>
  <c r="AD23"/>
  <c r="AD22"/>
  <c r="AD21"/>
  <c r="AD20"/>
  <c r="AD19"/>
  <c r="AD18"/>
  <c r="AD17"/>
  <c r="AD16"/>
  <c r="AD15"/>
  <c r="AD14"/>
  <c r="AD13"/>
  <c r="AD12"/>
  <c r="AD11"/>
  <c r="AD10"/>
  <c r="AD9"/>
  <c r="AD8"/>
  <c r="AD7"/>
  <c r="AD6"/>
  <c r="V24"/>
  <c r="V23"/>
  <c r="V22"/>
  <c r="V21"/>
  <c r="V20"/>
  <c r="V19"/>
  <c r="V18"/>
  <c r="V17"/>
  <c r="V16"/>
  <c r="V15"/>
  <c r="V14"/>
  <c r="V13"/>
  <c r="V12"/>
  <c r="V11"/>
  <c r="V10"/>
  <c r="V9"/>
  <c r="V8"/>
  <c r="V7"/>
  <c r="V6"/>
  <c r="N15"/>
  <c r="N13"/>
  <c r="N11"/>
  <c r="N10"/>
  <c r="N8"/>
  <c r="N7"/>
  <c r="N9"/>
  <c r="N12"/>
  <c r="N14"/>
  <c r="N16"/>
  <c r="N17"/>
  <c r="N18"/>
  <c r="N19"/>
  <c r="N20"/>
  <c r="N21"/>
  <c r="N22"/>
  <c r="N23"/>
  <c r="N24"/>
  <c r="N6"/>
  <c r="M53" i="121"/>
  <c r="O60" i="58"/>
  <c r="P60" s="1"/>
  <c r="O59"/>
  <c r="O57"/>
  <c r="O56"/>
  <c r="O54"/>
  <c r="O53"/>
  <c r="P53" s="1"/>
  <c r="O52"/>
  <c r="P52" s="1"/>
  <c r="O50"/>
  <c r="O51" s="1"/>
  <c r="O48"/>
  <c r="O49" s="1"/>
  <c r="O46"/>
  <c r="O47" s="1"/>
  <c r="O44"/>
  <c r="O45" s="1"/>
  <c r="W60"/>
  <c r="W59"/>
  <c r="W57"/>
  <c r="W56"/>
  <c r="X56" s="1"/>
  <c r="W54"/>
  <c r="W53"/>
  <c r="X53" s="1"/>
  <c r="W52"/>
  <c r="X52" s="1"/>
  <c r="W51"/>
  <c r="W50"/>
  <c r="W49"/>
  <c r="W48"/>
  <c r="W47"/>
  <c r="W46"/>
  <c r="W45"/>
  <c r="W44"/>
  <c r="AE60"/>
  <c r="AE59"/>
  <c r="AE57"/>
  <c r="AE56"/>
  <c r="AE54"/>
  <c r="AF54" s="1"/>
  <c r="AE53"/>
  <c r="AF53" s="1"/>
  <c r="AE52"/>
  <c r="AE50"/>
  <c r="AE51" s="1"/>
  <c r="AE48"/>
  <c r="AE49" s="1"/>
  <c r="AE46"/>
  <c r="AE47" s="1"/>
  <c r="AE44"/>
  <c r="AE45" s="1"/>
  <c r="AE22"/>
  <c r="AE21"/>
  <c r="AE19"/>
  <c r="AE18"/>
  <c r="AE16"/>
  <c r="AE15"/>
  <c r="AF15" s="1"/>
  <c r="AE14"/>
  <c r="AF14" s="1"/>
  <c r="AE13"/>
  <c r="AE12"/>
  <c r="AE11"/>
  <c r="AE10"/>
  <c r="AE9"/>
  <c r="AE8"/>
  <c r="AE7"/>
  <c r="AE6"/>
  <c r="W22"/>
  <c r="W21"/>
  <c r="W19"/>
  <c r="W18"/>
  <c r="W16"/>
  <c r="W15"/>
  <c r="X15" s="1"/>
  <c r="W14"/>
  <c r="W13"/>
  <c r="W12"/>
  <c r="W10"/>
  <c r="W11" s="1"/>
  <c r="W9"/>
  <c r="W8"/>
  <c r="W6"/>
  <c r="W7" s="1"/>
  <c r="O22"/>
  <c r="P22" s="1"/>
  <c r="O21"/>
  <c r="P21" s="1"/>
  <c r="O18"/>
  <c r="P18" s="1"/>
  <c r="O16"/>
  <c r="O15"/>
  <c r="P15" s="1"/>
  <c r="O14"/>
  <c r="P14" s="1"/>
  <c r="O12"/>
  <c r="O13" s="1"/>
  <c r="O10"/>
  <c r="P10" s="1"/>
  <c r="O8"/>
  <c r="P8" s="1"/>
  <c r="O6"/>
  <c r="P7" s="1"/>
  <c r="O64" i="46"/>
  <c r="O63"/>
  <c r="O61"/>
  <c r="O60"/>
  <c r="O58"/>
  <c r="O57"/>
  <c r="P57" s="1"/>
  <c r="O56"/>
  <c r="P56" s="1"/>
  <c r="O54"/>
  <c r="O55" s="1"/>
  <c r="O52"/>
  <c r="O53" s="1"/>
  <c r="O49"/>
  <c r="O50" s="1"/>
  <c r="O46"/>
  <c r="O48" s="1"/>
  <c r="W64"/>
  <c r="W63"/>
  <c r="W61"/>
  <c r="W60"/>
  <c r="W58"/>
  <c r="W57"/>
  <c r="X57" s="1"/>
  <c r="W56"/>
  <c r="X56" s="1"/>
  <c r="W55"/>
  <c r="W54"/>
  <c r="W53"/>
  <c r="W52"/>
  <c r="W49"/>
  <c r="W50" s="1"/>
  <c r="W47"/>
  <c r="W46"/>
  <c r="W48" s="1"/>
  <c r="AE64"/>
  <c r="AE63"/>
  <c r="AE61"/>
  <c r="AE60"/>
  <c r="AE58"/>
  <c r="AE57"/>
  <c r="AF57" s="1"/>
  <c r="AE56"/>
  <c r="AF56" s="1"/>
  <c r="AE55"/>
  <c r="AE54"/>
  <c r="AF54" s="1"/>
  <c r="AE52"/>
  <c r="AE53" s="1"/>
  <c r="AE51"/>
  <c r="AE50"/>
  <c r="AE49"/>
  <c r="AE47"/>
  <c r="AE46"/>
  <c r="AE48" s="1"/>
  <c r="AE24"/>
  <c r="AE23"/>
  <c r="AE21"/>
  <c r="AE20"/>
  <c r="AE18"/>
  <c r="AE17"/>
  <c r="AF17" s="1"/>
  <c r="AE16"/>
  <c r="AF16" s="1"/>
  <c r="AE15"/>
  <c r="AE14"/>
  <c r="AE12"/>
  <c r="AE13" s="1"/>
  <c r="AE11"/>
  <c r="AE10"/>
  <c r="AE9"/>
  <c r="AE7"/>
  <c r="AE6"/>
  <c r="AE8" s="1"/>
  <c r="W24"/>
  <c r="W23"/>
  <c r="W21"/>
  <c r="W20"/>
  <c r="W18"/>
  <c r="W17"/>
  <c r="X17" s="1"/>
  <c r="W16"/>
  <c r="X16" s="1"/>
  <c r="W14"/>
  <c r="W15" s="1"/>
  <c r="W12"/>
  <c r="W13" s="1"/>
  <c r="W11"/>
  <c r="W10"/>
  <c r="W9"/>
  <c r="W6"/>
  <c r="W8" s="1"/>
  <c r="O24"/>
  <c r="O23"/>
  <c r="O20"/>
  <c r="O18"/>
  <c r="O17"/>
  <c r="P17" s="1"/>
  <c r="O16"/>
  <c r="P16" s="1"/>
  <c r="O14"/>
  <c r="O15" s="1"/>
  <c r="O12"/>
  <c r="O13" s="1"/>
  <c r="O9"/>
  <c r="P9" s="1"/>
  <c r="O6"/>
  <c r="O7" s="1"/>
  <c r="O8" s="1"/>
  <c r="AE70" i="60"/>
  <c r="AE68"/>
  <c r="AE67"/>
  <c r="AE66"/>
  <c r="AE65"/>
  <c r="AE64"/>
  <c r="AE63"/>
  <c r="AE61"/>
  <c r="AE60"/>
  <c r="AE59"/>
  <c r="AE58"/>
  <c r="AE57"/>
  <c r="AE56"/>
  <c r="AE55"/>
  <c r="AE54"/>
  <c r="AE53"/>
  <c r="AE52"/>
  <c r="AE51"/>
  <c r="W70"/>
  <c r="W68"/>
  <c r="W67"/>
  <c r="W66"/>
  <c r="W65"/>
  <c r="W64"/>
  <c r="W63"/>
  <c r="W61"/>
  <c r="W60"/>
  <c r="W59"/>
  <c r="W58"/>
  <c r="W57"/>
  <c r="W56"/>
  <c r="W55"/>
  <c r="W54"/>
  <c r="W53"/>
  <c r="W52"/>
  <c r="W51"/>
  <c r="O70"/>
  <c r="O68"/>
  <c r="O67"/>
  <c r="O66"/>
  <c r="O65"/>
  <c r="O64"/>
  <c r="O63"/>
  <c r="O61"/>
  <c r="O60"/>
  <c r="O59"/>
  <c r="O58"/>
  <c r="O57"/>
  <c r="O56"/>
  <c r="O55"/>
  <c r="O54"/>
  <c r="O53"/>
  <c r="O52"/>
  <c r="O51"/>
  <c r="AE25"/>
  <c r="AE23"/>
  <c r="AE22"/>
  <c r="AE21"/>
  <c r="AE20"/>
  <c r="AE19"/>
  <c r="AF19" s="1"/>
  <c r="AE18"/>
  <c r="AE16"/>
  <c r="AF16" s="1"/>
  <c r="AE15"/>
  <c r="AF15" s="1"/>
  <c r="AE14"/>
  <c r="AF14" s="1"/>
  <c r="AE13"/>
  <c r="AE12"/>
  <c r="AE11"/>
  <c r="AE10"/>
  <c r="AE9"/>
  <c r="AE8"/>
  <c r="AE7"/>
  <c r="AE6"/>
  <c r="W25"/>
  <c r="W23"/>
  <c r="X23" s="1"/>
  <c r="W22"/>
  <c r="W21"/>
  <c r="W20"/>
  <c r="W19"/>
  <c r="W18"/>
  <c r="W16"/>
  <c r="W15"/>
  <c r="W14"/>
  <c r="W13"/>
  <c r="W12"/>
  <c r="W11"/>
  <c r="W10"/>
  <c r="W9"/>
  <c r="W8"/>
  <c r="W7"/>
  <c r="W6"/>
  <c r="O16"/>
  <c r="O15"/>
  <c r="P15" s="1"/>
  <c r="O14"/>
  <c r="O23"/>
  <c r="P23" s="1"/>
  <c r="O22"/>
  <c r="P22" s="1"/>
  <c r="O21"/>
  <c r="P21" s="1"/>
  <c r="O20"/>
  <c r="P20" s="1"/>
  <c r="O19"/>
  <c r="O18"/>
  <c r="P18" s="1"/>
  <c r="O12"/>
  <c r="P12" s="1"/>
  <c r="O11"/>
  <c r="O10"/>
  <c r="O8"/>
  <c r="P8" s="1"/>
  <c r="O6"/>
  <c r="P6" s="1"/>
  <c r="G50" i="10"/>
  <c r="G51"/>
  <c r="G52"/>
  <c r="O25" i="60"/>
  <c r="P25" s="1"/>
  <c r="P50" i="58" l="1"/>
  <c r="P13" i="60"/>
  <c r="O13"/>
  <c r="P12" i="58"/>
  <c r="P13"/>
  <c r="O11"/>
  <c r="P12" i="46"/>
  <c r="P15"/>
  <c r="P14"/>
  <c r="P13"/>
  <c r="O11"/>
  <c r="P11"/>
  <c r="O10"/>
  <c r="P10"/>
  <c r="P9" i="60"/>
  <c r="O9"/>
  <c r="O7"/>
  <c r="P7"/>
  <c r="O9" i="58"/>
  <c r="P9"/>
  <c r="O7"/>
  <c r="P6"/>
  <c r="P8" i="46"/>
  <c r="P7"/>
  <c r="P6"/>
  <c r="O47"/>
  <c r="O51"/>
  <c r="W51"/>
  <c r="W7"/>
  <c r="C128" i="24"/>
  <c r="H74" i="7" l="1"/>
  <c r="I74"/>
  <c r="I67"/>
  <c r="H67"/>
  <c r="I66"/>
  <c r="H66"/>
  <c r="I44"/>
  <c r="H44"/>
  <c r="H23"/>
  <c r="I23"/>
  <c r="I84" i="60"/>
  <c r="G47" i="121"/>
  <c r="G45"/>
  <c r="G43"/>
  <c r="G41"/>
  <c r="G12"/>
  <c r="G10"/>
  <c r="G8"/>
  <c r="G6"/>
  <c r="E91" i="10"/>
  <c r="F91"/>
  <c r="G91"/>
  <c r="G12" i="60"/>
  <c r="G10"/>
  <c r="G8"/>
  <c r="G6"/>
  <c r="G57"/>
  <c r="G55"/>
  <c r="G53"/>
  <c r="G51"/>
  <c r="I71"/>
  <c r="AA84"/>
  <c r="Y84"/>
  <c r="S84"/>
  <c r="Q84"/>
  <c r="K84"/>
  <c r="G85"/>
  <c r="H85"/>
  <c r="Y71"/>
  <c r="Q71"/>
  <c r="Y70"/>
  <c r="Q70"/>
  <c r="I70"/>
  <c r="Y25"/>
  <c r="Q25"/>
  <c r="S24"/>
  <c r="AA24"/>
  <c r="Q26"/>
  <c r="Y26"/>
  <c r="AA26"/>
  <c r="I25"/>
  <c r="BK49" i="122" l="1"/>
  <c r="BM49" s="1"/>
  <c r="BK50"/>
  <c r="BK51"/>
  <c r="BM51" s="1"/>
  <c r="BK48"/>
  <c r="BM48" s="1"/>
  <c r="BC49"/>
  <c r="BE49" s="1"/>
  <c r="BC50"/>
  <c r="BC51"/>
  <c r="BE51" s="1"/>
  <c r="BC48"/>
  <c r="BE48" s="1"/>
  <c r="AU49"/>
  <c r="AW49" s="1"/>
  <c r="AU50"/>
  <c r="AU51"/>
  <c r="AW51" s="1"/>
  <c r="AU48"/>
  <c r="AW48" s="1"/>
  <c r="BK7"/>
  <c r="BM7" s="1"/>
  <c r="BK8"/>
  <c r="BK9"/>
  <c r="BM9" s="1"/>
  <c r="BK6"/>
  <c r="BM6" s="1"/>
  <c r="BC7"/>
  <c r="BE7" s="1"/>
  <c r="BC8"/>
  <c r="BC9"/>
  <c r="BE9" s="1"/>
  <c r="BC6"/>
  <c r="BE6" s="1"/>
  <c r="AU7"/>
  <c r="AW7" s="1"/>
  <c r="AU8"/>
  <c r="AU9"/>
  <c r="AW9" s="1"/>
  <c r="AU6"/>
  <c r="AW6" s="1"/>
  <c r="BI55"/>
  <c r="BG55"/>
  <c r="BA55"/>
  <c r="AY55"/>
  <c r="AS55"/>
  <c r="AQ55"/>
  <c r="AP55"/>
  <c r="AO55"/>
  <c r="BI54"/>
  <c r="BG54"/>
  <c r="BA54"/>
  <c r="AY54"/>
  <c r="AS54"/>
  <c r="AQ54"/>
  <c r="AP54"/>
  <c r="AO54"/>
  <c r="BI51"/>
  <c r="BG51"/>
  <c r="BA51"/>
  <c r="AY51"/>
  <c r="AS51"/>
  <c r="AQ51"/>
  <c r="AP51"/>
  <c r="AO51"/>
  <c r="BG50"/>
  <c r="AY50"/>
  <c r="AQ50"/>
  <c r="AP50"/>
  <c r="AO50"/>
  <c r="AP49"/>
  <c r="AO49"/>
  <c r="AP48"/>
  <c r="AO48"/>
  <c r="BL45"/>
  <c r="AQ45"/>
  <c r="AP45"/>
  <c r="BI13"/>
  <c r="BG13"/>
  <c r="BA13"/>
  <c r="AY13"/>
  <c r="AS13"/>
  <c r="AQ13"/>
  <c r="AP13"/>
  <c r="AO13"/>
  <c r="BI12"/>
  <c r="BG12"/>
  <c r="BA12"/>
  <c r="AY12"/>
  <c r="AS12"/>
  <c r="AQ12"/>
  <c r="AP12"/>
  <c r="AO12"/>
  <c r="BI9"/>
  <c r="BG9"/>
  <c r="BA9"/>
  <c r="AY9"/>
  <c r="AS9"/>
  <c r="AQ9"/>
  <c r="AP9"/>
  <c r="AO9"/>
  <c r="BG8"/>
  <c r="AY8"/>
  <c r="AQ8"/>
  <c r="AP8"/>
  <c r="AO8"/>
  <c r="AP7"/>
  <c r="AO7"/>
  <c r="AP6"/>
  <c r="AO6"/>
  <c r="BL3"/>
  <c r="AQ3"/>
  <c r="AP3"/>
  <c r="G54"/>
  <c r="G52"/>
  <c r="G50"/>
  <c r="G48"/>
  <c r="G12"/>
  <c r="G10"/>
  <c r="G8"/>
  <c r="G6"/>
  <c r="I25" i="46"/>
  <c r="I19" i="10"/>
  <c r="AR102" i="24"/>
  <c r="AS102" s="1"/>
  <c r="AK102"/>
  <c r="AK129" s="1"/>
  <c r="AD102"/>
  <c r="W102"/>
  <c r="Q9" i="117" s="1"/>
  <c r="P102" i="24"/>
  <c r="Q102" s="1"/>
  <c r="AG102"/>
  <c r="K9" i="118" s="1"/>
  <c r="I102" i="24"/>
  <c r="J102" s="1"/>
  <c r="AR102" i="10"/>
  <c r="AS102" s="1"/>
  <c r="AU102" s="1"/>
  <c r="BI54" i="60" s="1"/>
  <c r="AK102" i="10"/>
  <c r="AL102" s="1"/>
  <c r="AN102" s="1"/>
  <c r="BA54" i="60" s="1"/>
  <c r="AD102" i="10"/>
  <c r="AQ54" i="60" s="1"/>
  <c r="W102" i="10"/>
  <c r="BG9" i="60" s="1"/>
  <c r="P102" i="10"/>
  <c r="AY9" i="60" s="1"/>
  <c r="AC52" i="121"/>
  <c r="AE52" s="1"/>
  <c r="AA52"/>
  <c r="Y52"/>
  <c r="U52"/>
  <c r="W52" s="1"/>
  <c r="S52"/>
  <c r="Q52"/>
  <c r="M52"/>
  <c r="O52" s="1"/>
  <c r="K52"/>
  <c r="I52"/>
  <c r="H52"/>
  <c r="G52"/>
  <c r="AC17"/>
  <c r="AE17" s="1"/>
  <c r="U17"/>
  <c r="W17" s="1"/>
  <c r="Q17"/>
  <c r="M17"/>
  <c r="O17" s="1"/>
  <c r="H17"/>
  <c r="G17"/>
  <c r="F129" i="24"/>
  <c r="H23" i="118"/>
  <c r="G23"/>
  <c r="H9"/>
  <c r="G9"/>
  <c r="G9" i="117"/>
  <c r="H23"/>
  <c r="G23"/>
  <c r="H9"/>
  <c r="BM54" i="60"/>
  <c r="BE54"/>
  <c r="AW54"/>
  <c r="BG54"/>
  <c r="AP54"/>
  <c r="AO54"/>
  <c r="BM9"/>
  <c r="BE9"/>
  <c r="AW9"/>
  <c r="AW7"/>
  <c r="BI9"/>
  <c r="AP9"/>
  <c r="AO9"/>
  <c r="AU129" i="10"/>
  <c r="AS129"/>
  <c r="AR129"/>
  <c r="AK129"/>
  <c r="AL129" s="1"/>
  <c r="AN129" s="1"/>
  <c r="AD129"/>
  <c r="AE129" s="1"/>
  <c r="AG129" s="1"/>
  <c r="Z129"/>
  <c r="X129"/>
  <c r="W129"/>
  <c r="P129"/>
  <c r="Q129" s="1"/>
  <c r="S129" s="1"/>
  <c r="AE102"/>
  <c r="AG102" s="1"/>
  <c r="AS54" i="60" s="1"/>
  <c r="X102" i="10"/>
  <c r="Z102" s="1"/>
  <c r="AA17" i="121" s="1"/>
  <c r="AV129" i="24"/>
  <c r="AO129"/>
  <c r="AJ129"/>
  <c r="AH129"/>
  <c r="AA129"/>
  <c r="T129"/>
  <c r="M129"/>
  <c r="E129"/>
  <c r="AQ129" i="10"/>
  <c r="AJ129"/>
  <c r="AC129"/>
  <c r="V129"/>
  <c r="O129"/>
  <c r="AQ102"/>
  <c r="AJ102"/>
  <c r="AC102"/>
  <c r="V102"/>
  <c r="O102"/>
  <c r="H102"/>
  <c r="I129" s="1"/>
  <c r="J129" s="1"/>
  <c r="AQ102" i="24"/>
  <c r="AJ102"/>
  <c r="AC102"/>
  <c r="V102"/>
  <c r="O102"/>
  <c r="H102"/>
  <c r="E102" i="10"/>
  <c r="E129" s="1"/>
  <c r="F102"/>
  <c r="F129" s="1"/>
  <c r="F30" i="75"/>
  <c r="C31" s="1"/>
  <c r="F31" s="1"/>
  <c r="C32" s="1"/>
  <c r="F32" s="1"/>
  <c r="C33" s="1"/>
  <c r="F33" s="1"/>
  <c r="C34" s="1"/>
  <c r="C35" s="1"/>
  <c r="AI60" i="77"/>
  <c r="AI66"/>
  <c r="AI69"/>
  <c r="AI70"/>
  <c r="N57"/>
  <c r="G89" i="10"/>
  <c r="G90"/>
  <c r="G92"/>
  <c r="G93"/>
  <c r="AV92" i="24"/>
  <c r="AV93"/>
  <c r="AV94"/>
  <c r="AV90"/>
  <c r="AV91"/>
  <c r="AO90"/>
  <c r="AO91"/>
  <c r="AO92"/>
  <c r="AO93"/>
  <c r="AH90"/>
  <c r="AH91"/>
  <c r="AH92"/>
  <c r="AH93"/>
  <c r="AA90"/>
  <c r="AA91"/>
  <c r="AA92"/>
  <c r="AA93"/>
  <c r="T90"/>
  <c r="T91"/>
  <c r="T92"/>
  <c r="M90"/>
  <c r="M91"/>
  <c r="M92"/>
  <c r="AG58" i="77"/>
  <c r="AG59"/>
  <c r="AG60"/>
  <c r="AG61"/>
  <c r="AG62"/>
  <c r="AG63"/>
  <c r="AG64"/>
  <c r="AG65"/>
  <c r="AG66"/>
  <c r="AG67"/>
  <c r="AG68"/>
  <c r="AG69"/>
  <c r="AG70"/>
  <c r="AG71"/>
  <c r="AG72"/>
  <c r="AY22" i="10"/>
  <c r="AY15"/>
  <c r="AG57" i="77"/>
  <c r="AR128" i="10"/>
  <c r="AK128"/>
  <c r="AD128"/>
  <c r="W128"/>
  <c r="P128"/>
  <c r="I128"/>
  <c r="Q9" i="118" l="1"/>
  <c r="AL129" i="24"/>
  <c r="N74" i="7"/>
  <c r="X102" i="24"/>
  <c r="M9" i="117"/>
  <c r="M9" i="118"/>
  <c r="I9"/>
  <c r="AE102" i="24"/>
  <c r="AY54" i="60"/>
  <c r="Y17" i="121"/>
  <c r="I102" i="10"/>
  <c r="I17" i="121" s="1"/>
  <c r="I9" i="117"/>
  <c r="Q102" i="10"/>
  <c r="S102" s="1"/>
  <c r="AU102" i="24"/>
  <c r="S9" i="118" s="1"/>
  <c r="AN102" i="24"/>
  <c r="O9" i="118" s="1"/>
  <c r="Z102" i="24"/>
  <c r="S9" i="117" s="1"/>
  <c r="S102" i="24"/>
  <c r="O9" i="117" s="1"/>
  <c r="AL102" i="24"/>
  <c r="L102"/>
  <c r="K9" i="117" s="1"/>
  <c r="I129" i="24"/>
  <c r="P129"/>
  <c r="K74" i="7" s="1"/>
  <c r="W129" i="24"/>
  <c r="L74" i="7" s="1"/>
  <c r="AD129" i="24"/>
  <c r="AR129"/>
  <c r="H59" i="7"/>
  <c r="I59"/>
  <c r="H60"/>
  <c r="I60"/>
  <c r="H61"/>
  <c r="I61"/>
  <c r="I62"/>
  <c r="H62"/>
  <c r="AC50" i="121"/>
  <c r="AC49"/>
  <c r="U50"/>
  <c r="U49"/>
  <c r="M50"/>
  <c r="M49"/>
  <c r="AC15"/>
  <c r="AC14"/>
  <c r="U15"/>
  <c r="U14"/>
  <c r="M15"/>
  <c r="M14"/>
  <c r="BM52" i="60"/>
  <c r="BM51"/>
  <c r="BM7"/>
  <c r="BM6"/>
  <c r="BE7"/>
  <c r="BE6"/>
  <c r="AW6"/>
  <c r="O14" i="121"/>
  <c r="BI58" i="60"/>
  <c r="AA65" i="121" s="1"/>
  <c r="BG58" i="60"/>
  <c r="Y65" i="121" s="1"/>
  <c r="BA58" i="60"/>
  <c r="S65" i="121" s="1"/>
  <c r="AY58" i="60"/>
  <c r="Q65" i="121" s="1"/>
  <c r="AS58" i="60"/>
  <c r="K65" i="121" s="1"/>
  <c r="AQ58" i="60"/>
  <c r="I65" i="121" s="1"/>
  <c r="AP58" i="60"/>
  <c r="AO58"/>
  <c r="BI57"/>
  <c r="AA64" i="121" s="1"/>
  <c r="BG57" i="60"/>
  <c r="Y64" i="121" s="1"/>
  <c r="BA57" i="60"/>
  <c r="S64" i="121" s="1"/>
  <c r="AY57" i="60"/>
  <c r="Q64" i="121" s="1"/>
  <c r="AS57" i="60"/>
  <c r="K64" i="121" s="1"/>
  <c r="AQ57" i="60"/>
  <c r="I64" i="121" s="1"/>
  <c r="AP57" i="60"/>
  <c r="AO57"/>
  <c r="AP53"/>
  <c r="AO53"/>
  <c r="AP52"/>
  <c r="AO52"/>
  <c r="AP51"/>
  <c r="AO51"/>
  <c r="BL48"/>
  <c r="AQ48"/>
  <c r="AP48"/>
  <c r="BI13"/>
  <c r="AA30" i="121" s="1"/>
  <c r="BG13" i="60"/>
  <c r="Y30" i="121" s="1"/>
  <c r="BA13" i="60"/>
  <c r="S30" i="121" s="1"/>
  <c r="AY13" i="60"/>
  <c r="Q30" i="121" s="1"/>
  <c r="AS13" i="60"/>
  <c r="K30" i="121" s="1"/>
  <c r="AQ13" i="60"/>
  <c r="I30" i="121" s="1"/>
  <c r="AP13" i="60"/>
  <c r="AO13"/>
  <c r="BI12"/>
  <c r="AA29" i="121" s="1"/>
  <c r="BG12" i="60"/>
  <c r="Y29" i="121" s="1"/>
  <c r="BA12" i="60"/>
  <c r="S29" i="121" s="1"/>
  <c r="AY12" i="60"/>
  <c r="Q29" i="121" s="1"/>
  <c r="AS12" i="60"/>
  <c r="K29" i="121" s="1"/>
  <c r="AQ12" i="60"/>
  <c r="I29" i="121" s="1"/>
  <c r="AP12" i="60"/>
  <c r="AO12"/>
  <c r="AP8"/>
  <c r="AO8"/>
  <c r="AP7"/>
  <c r="AO7"/>
  <c r="AP6"/>
  <c r="AO6"/>
  <c r="BL3"/>
  <c r="AQ3"/>
  <c r="AP3"/>
  <c r="AE129" i="24" l="1"/>
  <c r="M74" i="7"/>
  <c r="AS129" i="24"/>
  <c r="O74" i="7"/>
  <c r="S17" i="121"/>
  <c r="BA9" i="60"/>
  <c r="J102" i="10"/>
  <c r="AQ9" i="60"/>
  <c r="J129" i="24"/>
  <c r="J74" i="7"/>
  <c r="T93" i="24"/>
  <c r="E90" i="10"/>
  <c r="F90"/>
  <c r="E92"/>
  <c r="F92"/>
  <c r="E93"/>
  <c r="F93"/>
  <c r="G21" i="120" l="1"/>
  <c r="G63"/>
  <c r="G20"/>
  <c r="G62"/>
  <c r="G19"/>
  <c r="G61"/>
  <c r="G18"/>
  <c r="G60"/>
  <c r="H21"/>
  <c r="H63"/>
  <c r="H20"/>
  <c r="H62"/>
  <c r="H19"/>
  <c r="H61"/>
  <c r="H18"/>
  <c r="H60"/>
  <c r="D215" i="62"/>
  <c r="E215"/>
  <c r="F215"/>
  <c r="G215"/>
  <c r="H215"/>
  <c r="I215"/>
  <c r="H21" i="122"/>
  <c r="G21"/>
  <c r="H20"/>
  <c r="G20"/>
  <c r="H19"/>
  <c r="G19"/>
  <c r="H18"/>
  <c r="G18"/>
  <c r="H63"/>
  <c r="G63"/>
  <c r="H62"/>
  <c r="G62"/>
  <c r="H61"/>
  <c r="G61"/>
  <c r="H60"/>
  <c r="G60"/>
  <c r="H56" i="121"/>
  <c r="G56"/>
  <c r="H55"/>
  <c r="G55"/>
  <c r="H54"/>
  <c r="G54"/>
  <c r="H53"/>
  <c r="G53"/>
  <c r="H21"/>
  <c r="G21"/>
  <c r="H20"/>
  <c r="G20"/>
  <c r="H19"/>
  <c r="G19"/>
  <c r="H18"/>
  <c r="G18"/>
  <c r="H21" i="115"/>
  <c r="G21"/>
  <c r="H20"/>
  <c r="G20"/>
  <c r="H19"/>
  <c r="G19"/>
  <c r="H18"/>
  <c r="G18"/>
  <c r="G18" i="56"/>
  <c r="H18"/>
  <c r="G19"/>
  <c r="H19"/>
  <c r="G20"/>
  <c r="H20"/>
  <c r="H21"/>
  <c r="G21"/>
  <c r="H21" i="60"/>
  <c r="G21"/>
  <c r="H20"/>
  <c r="G20"/>
  <c r="H19"/>
  <c r="G19"/>
  <c r="H18"/>
  <c r="G18"/>
  <c r="H66"/>
  <c r="H65"/>
  <c r="H64"/>
  <c r="H63"/>
  <c r="G66"/>
  <c r="G65"/>
  <c r="G64"/>
  <c r="G63"/>
  <c r="AQ90" i="24"/>
  <c r="AR90" s="1"/>
  <c r="AJ90"/>
  <c r="AK90" s="1"/>
  <c r="AC90"/>
  <c r="AD90" s="1"/>
  <c r="V90"/>
  <c r="W90" s="1"/>
  <c r="L59" i="7" s="1"/>
  <c r="O90" i="24"/>
  <c r="P90" s="1"/>
  <c r="K59" i="7" s="1"/>
  <c r="H90" i="24"/>
  <c r="I90" s="1"/>
  <c r="AQ90" i="10"/>
  <c r="AR90" s="1"/>
  <c r="AJ90"/>
  <c r="AK90" s="1"/>
  <c r="AC90"/>
  <c r="AD90" s="1"/>
  <c r="V90"/>
  <c r="W90" s="1"/>
  <c r="O90"/>
  <c r="P90" s="1"/>
  <c r="H90"/>
  <c r="I18" i="120" s="1"/>
  <c r="M18" s="1"/>
  <c r="O18" s="1"/>
  <c r="S66" i="122"/>
  <c r="AA66"/>
  <c r="K24"/>
  <c r="S24"/>
  <c r="AA24"/>
  <c r="AC58"/>
  <c r="U58"/>
  <c r="W58" s="1"/>
  <c r="M58"/>
  <c r="O58" s="1"/>
  <c r="AE58"/>
  <c r="AC16"/>
  <c r="AE16" s="1"/>
  <c r="U16"/>
  <c r="W16" s="1"/>
  <c r="M16"/>
  <c r="O16" s="1"/>
  <c r="Y76"/>
  <c r="Q76"/>
  <c r="I76"/>
  <c r="H66"/>
  <c r="G66"/>
  <c r="H65"/>
  <c r="G65"/>
  <c r="AC57"/>
  <c r="AE57" s="1"/>
  <c r="U57"/>
  <c r="W57" s="1"/>
  <c r="M57"/>
  <c r="O57" s="1"/>
  <c r="AC56"/>
  <c r="AE56" s="1"/>
  <c r="U56"/>
  <c r="W56" s="1"/>
  <c r="M56"/>
  <c r="O56" s="1"/>
  <c r="AC55"/>
  <c r="U55"/>
  <c r="M55"/>
  <c r="AC54"/>
  <c r="AE54" s="1"/>
  <c r="U54"/>
  <c r="W55" s="1"/>
  <c r="M54"/>
  <c r="O54" s="1"/>
  <c r="AC53"/>
  <c r="U53"/>
  <c r="M53"/>
  <c r="AC52"/>
  <c r="AE53" s="1"/>
  <c r="U52"/>
  <c r="W53" s="1"/>
  <c r="M52"/>
  <c r="O53" s="1"/>
  <c r="AC51"/>
  <c r="U51"/>
  <c r="M51"/>
  <c r="AC50"/>
  <c r="AE50" s="1"/>
  <c r="U50"/>
  <c r="W51" s="1"/>
  <c r="M50"/>
  <c r="O50" s="1"/>
  <c r="AC49"/>
  <c r="U49"/>
  <c r="M49"/>
  <c r="AC48"/>
  <c r="AE49" s="1"/>
  <c r="U48"/>
  <c r="W49" s="1"/>
  <c r="M48"/>
  <c r="O49" s="1"/>
  <c r="AD45"/>
  <c r="I45"/>
  <c r="H45"/>
  <c r="Y34"/>
  <c r="Q34"/>
  <c r="I34"/>
  <c r="H24"/>
  <c r="G24"/>
  <c r="H23"/>
  <c r="G23"/>
  <c r="AC15"/>
  <c r="AE15" s="1"/>
  <c r="U15"/>
  <c r="W15" s="1"/>
  <c r="M15"/>
  <c r="O15" s="1"/>
  <c r="AC14"/>
  <c r="AE14" s="1"/>
  <c r="U14"/>
  <c r="W14" s="1"/>
  <c r="M14"/>
  <c r="O14" s="1"/>
  <c r="AC13"/>
  <c r="U13"/>
  <c r="M13"/>
  <c r="AC12"/>
  <c r="AE13" s="1"/>
  <c r="U12"/>
  <c r="W13" s="1"/>
  <c r="M12"/>
  <c r="AC11"/>
  <c r="U11"/>
  <c r="M11"/>
  <c r="AC10"/>
  <c r="AE10" s="1"/>
  <c r="U10"/>
  <c r="W11" s="1"/>
  <c r="M10"/>
  <c r="O10" s="1"/>
  <c r="AC9"/>
  <c r="U9"/>
  <c r="M9"/>
  <c r="AC8"/>
  <c r="AE9" s="1"/>
  <c r="U8"/>
  <c r="W9" s="1"/>
  <c r="M8"/>
  <c r="AC7"/>
  <c r="U7"/>
  <c r="M7"/>
  <c r="AC6"/>
  <c r="AE6" s="1"/>
  <c r="U6"/>
  <c r="W7" s="1"/>
  <c r="M6"/>
  <c r="O6" s="1"/>
  <c r="AD3"/>
  <c r="I3"/>
  <c r="H3"/>
  <c r="E73" i="112"/>
  <c r="E74"/>
  <c r="E68"/>
  <c r="E69"/>
  <c r="D69"/>
  <c r="E57"/>
  <c r="E58"/>
  <c r="E62"/>
  <c r="E63"/>
  <c r="D50"/>
  <c r="E42"/>
  <c r="E43"/>
  <c r="D42"/>
  <c r="E35"/>
  <c r="E36"/>
  <c r="D36"/>
  <c r="E30"/>
  <c r="E31"/>
  <c r="E23"/>
  <c r="E24"/>
  <c r="E17"/>
  <c r="E16"/>
  <c r="E12"/>
  <c r="E11"/>
  <c r="E5"/>
  <c r="E4"/>
  <c r="D63"/>
  <c r="D62"/>
  <c r="AE3" i="83"/>
  <c r="AI3" i="78"/>
  <c r="AC26" i="83"/>
  <c r="AC27"/>
  <c r="AC28"/>
  <c r="AC29"/>
  <c r="AC30"/>
  <c r="AC31"/>
  <c r="Y26"/>
  <c r="Y27"/>
  <c r="Y28"/>
  <c r="Y29"/>
  <c r="Y30"/>
  <c r="Y31"/>
  <c r="AC25"/>
  <c r="Y25"/>
  <c r="Y22"/>
  <c r="Y21"/>
  <c r="AA20"/>
  <c r="AE20" s="1"/>
  <c r="Y20"/>
  <c r="AC20" s="1"/>
  <c r="AA19"/>
  <c r="AE19" s="1"/>
  <c r="Y19"/>
  <c r="AC19" s="1"/>
  <c r="AA18"/>
  <c r="Y18"/>
  <c r="AA17"/>
  <c r="Y17"/>
  <c r="AC16"/>
  <c r="Y16"/>
  <c r="AC15"/>
  <c r="AC14"/>
  <c r="Y14"/>
  <c r="AE13"/>
  <c r="AC13"/>
  <c r="AA13"/>
  <c r="X3"/>
  <c r="W3"/>
  <c r="AH26" i="78"/>
  <c r="AH27"/>
  <c r="AH28"/>
  <c r="AH29"/>
  <c r="AH30"/>
  <c r="AH31"/>
  <c r="AH25"/>
  <c r="AG26"/>
  <c r="AG27"/>
  <c r="AG28"/>
  <c r="AG29"/>
  <c r="AG30"/>
  <c r="AG31"/>
  <c r="AG25"/>
  <c r="AD26"/>
  <c r="AD27"/>
  <c r="AD28"/>
  <c r="AD29"/>
  <c r="AD30"/>
  <c r="AD31"/>
  <c r="AD25"/>
  <c r="AC26"/>
  <c r="AC27"/>
  <c r="AC28"/>
  <c r="AC29"/>
  <c r="AC30"/>
  <c r="AC31"/>
  <c r="AC25"/>
  <c r="AI14"/>
  <c r="AE14"/>
  <c r="AE15"/>
  <c r="AE20"/>
  <c r="AE19"/>
  <c r="AE18"/>
  <c r="AE17"/>
  <c r="AG16"/>
  <c r="AC16"/>
  <c r="AB3"/>
  <c r="AA3"/>
  <c r="AK1"/>
  <c r="Z65" i="77"/>
  <c r="AY14" i="10" s="1"/>
  <c r="Z64" i="77"/>
  <c r="AY13" i="10" s="1"/>
  <c r="Y58" i="77"/>
  <c r="Y59"/>
  <c r="Y60"/>
  <c r="Y61"/>
  <c r="Y62"/>
  <c r="Y63"/>
  <c r="T65"/>
  <c r="AC15" i="78" s="1"/>
  <c r="T64" i="77"/>
  <c r="AC14" i="78" s="1"/>
  <c r="Z58" i="77"/>
  <c r="AY7" i="10" s="1"/>
  <c r="Z59" i="77"/>
  <c r="AY8" i="10" s="1"/>
  <c r="Z60" i="77"/>
  <c r="AY9" i="10" s="1"/>
  <c r="Z61" i="77"/>
  <c r="AY10" i="10" s="1"/>
  <c r="Z62" i="77"/>
  <c r="AY11" i="10" s="1"/>
  <c r="Z63" i="77"/>
  <c r="Y57"/>
  <c r="Z66"/>
  <c r="AA61"/>
  <c r="AC61" s="1"/>
  <c r="AI11" i="78" s="1"/>
  <c r="AA60" i="77"/>
  <c r="AC60" s="1"/>
  <c r="AI10" i="78" s="1"/>
  <c r="AA58" i="77"/>
  <c r="AC58" s="1"/>
  <c r="AI8" i="78" s="1"/>
  <c r="Z57" i="77"/>
  <c r="T66"/>
  <c r="AC81" i="88"/>
  <c r="AD31" i="83" s="1"/>
  <c r="W81" i="88"/>
  <c r="Z31" i="83" s="1"/>
  <c r="AC80" i="88"/>
  <c r="AD30" i="83" s="1"/>
  <c r="Z80" i="88"/>
  <c r="W80"/>
  <c r="Z30" i="83" s="1"/>
  <c r="T80" i="88"/>
  <c r="AC79"/>
  <c r="AD29" i="83" s="1"/>
  <c r="Z79" i="88"/>
  <c r="W79"/>
  <c r="Z29" i="83" s="1"/>
  <c r="T79" i="88"/>
  <c r="AC78"/>
  <c r="AD28" i="83" s="1"/>
  <c r="Z78" i="88"/>
  <c r="W78"/>
  <c r="Z28" i="83" s="1"/>
  <c r="T78" i="88"/>
  <c r="AC77"/>
  <c r="AD27" i="83" s="1"/>
  <c r="Z77" i="88"/>
  <c r="W77"/>
  <c r="Z27" i="83" s="1"/>
  <c r="T77" i="88"/>
  <c r="AC76"/>
  <c r="AD26" i="83" s="1"/>
  <c r="Z76" i="88"/>
  <c r="W76"/>
  <c r="Z26" i="83" s="1"/>
  <c r="T76" i="88"/>
  <c r="AC75"/>
  <c r="AD25" i="83" s="1"/>
  <c r="Z75" i="88"/>
  <c r="W75"/>
  <c r="Z25" i="83" s="1"/>
  <c r="T75" i="88"/>
  <c r="Z65"/>
  <c r="AA65" s="1"/>
  <c r="Z64"/>
  <c r="Z63"/>
  <c r="T65"/>
  <c r="T64"/>
  <c r="T63"/>
  <c r="U63" s="1"/>
  <c r="Y65"/>
  <c r="Y15" i="83" s="1"/>
  <c r="Y58" i="88"/>
  <c r="Y59"/>
  <c r="Z59" s="1"/>
  <c r="AC9" i="83" s="1"/>
  <c r="Y60" i="88"/>
  <c r="Y61"/>
  <c r="Z61" s="1"/>
  <c r="AC11" i="83" s="1"/>
  <c r="Y62" i="88"/>
  <c r="Y63"/>
  <c r="Y13" i="83" s="1"/>
  <c r="Y57" i="88"/>
  <c r="Z57" s="1"/>
  <c r="AC7" i="83" s="1"/>
  <c r="Z66" i="88"/>
  <c r="Z62"/>
  <c r="AC12" i="83" s="1"/>
  <c r="Z60" i="88"/>
  <c r="AA60" s="1"/>
  <c r="AC60" s="1"/>
  <c r="AE10" i="83" s="1"/>
  <c r="Z58" i="88"/>
  <c r="AC8" i="83" s="1"/>
  <c r="T66" i="88"/>
  <c r="U65"/>
  <c r="I96" i="24"/>
  <c r="C89" i="10"/>
  <c r="C96" i="24"/>
  <c r="C89"/>
  <c r="C60"/>
  <c r="C54"/>
  <c r="C25"/>
  <c r="C19"/>
  <c r="AQ92" i="10"/>
  <c r="AJ92"/>
  <c r="AC92"/>
  <c r="V92"/>
  <c r="O92"/>
  <c r="H92"/>
  <c r="I92" s="1"/>
  <c r="I20" i="120" s="1"/>
  <c r="M20" s="1"/>
  <c r="O20" s="1"/>
  <c r="AQ92" i="24"/>
  <c r="AR92" s="1"/>
  <c r="O61" i="7" s="1"/>
  <c r="AJ92" i="24"/>
  <c r="AK92" s="1"/>
  <c r="N61" i="7" s="1"/>
  <c r="AC92" i="24"/>
  <c r="AD92" s="1"/>
  <c r="M61" i="7" s="1"/>
  <c r="V92" i="24"/>
  <c r="W92" s="1"/>
  <c r="L61" i="7" s="1"/>
  <c r="O92" i="24"/>
  <c r="L10" i="65"/>
  <c r="H92" i="24"/>
  <c r="I92" s="1"/>
  <c r="J61" i="7" s="1"/>
  <c r="F225" i="62"/>
  <c r="E225"/>
  <c r="D225"/>
  <c r="I225"/>
  <c r="H225"/>
  <c r="G225"/>
  <c r="AA59" i="77" l="1"/>
  <c r="AC59" s="1"/>
  <c r="AI9" i="78" s="1"/>
  <c r="AA62" i="77"/>
  <c r="AC62" s="1"/>
  <c r="AI12" i="78" s="1"/>
  <c r="AA57" i="77"/>
  <c r="AC57" s="1"/>
  <c r="AI7" i="78" s="1"/>
  <c r="AY6" i="10"/>
  <c r="AA63" i="77"/>
  <c r="AC63" s="1"/>
  <c r="AI13" i="78" s="1"/>
  <c r="AY12" i="10"/>
  <c r="X90"/>
  <c r="Z90" s="1"/>
  <c r="AA18" i="121" s="1"/>
  <c r="Y18" i="120"/>
  <c r="AC18" s="1"/>
  <c r="AE18" s="1"/>
  <c r="AL90" i="10"/>
  <c r="AN90" s="1"/>
  <c r="S60" i="120" s="1"/>
  <c r="Q60"/>
  <c r="U60" s="1"/>
  <c r="W60" s="1"/>
  <c r="Q90" i="10"/>
  <c r="S90" s="1"/>
  <c r="S18" i="121" s="1"/>
  <c r="Q18" i="120"/>
  <c r="U18" s="1"/>
  <c r="W18" s="1"/>
  <c r="AE90" i="10"/>
  <c r="AG90" s="1"/>
  <c r="K60" i="120" s="1"/>
  <c r="I60"/>
  <c r="M60" s="1"/>
  <c r="O60" s="1"/>
  <c r="AS90" i="10"/>
  <c r="AU90" s="1"/>
  <c r="AA60" i="120" s="1"/>
  <c r="Y60"/>
  <c r="AC60" s="1"/>
  <c r="AE60" s="1"/>
  <c r="I18" i="122"/>
  <c r="M18" s="1"/>
  <c r="O18" s="1"/>
  <c r="J90" i="10"/>
  <c r="I18" i="56"/>
  <c r="D126" i="69" s="1"/>
  <c r="J59" i="7"/>
  <c r="AE90" i="24"/>
  <c r="M59" i="7"/>
  <c r="AL90" i="24"/>
  <c r="N59" i="7"/>
  <c r="AS90" i="24"/>
  <c r="O59" i="7"/>
  <c r="AG10" i="78"/>
  <c r="Q20" i="56"/>
  <c r="F128" i="69" s="1"/>
  <c r="X92" i="24"/>
  <c r="AE92"/>
  <c r="AS92"/>
  <c r="I20" i="60"/>
  <c r="J92" i="10"/>
  <c r="W92"/>
  <c r="AK92"/>
  <c r="Y18" i="122"/>
  <c r="AC18" s="1"/>
  <c r="AE18" s="1"/>
  <c r="Q90" i="24"/>
  <c r="S90" s="1"/>
  <c r="O18" i="56" s="1"/>
  <c r="E159" i="69" s="1"/>
  <c r="J92" i="24"/>
  <c r="L92" s="1"/>
  <c r="K20" i="56" s="1"/>
  <c r="D161" i="69" s="1"/>
  <c r="M20" i="115"/>
  <c r="H128" i="69" s="1"/>
  <c r="AL92" i="24"/>
  <c r="P92"/>
  <c r="K61" i="7" s="1"/>
  <c r="P92" i="10"/>
  <c r="AD92"/>
  <c r="I55" i="121" s="1"/>
  <c r="M55" s="1"/>
  <c r="O55" s="1"/>
  <c r="AR92" i="10"/>
  <c r="Y55" i="121" s="1"/>
  <c r="AC55" s="1"/>
  <c r="AE55" s="1"/>
  <c r="Q18" i="122"/>
  <c r="U18" s="1"/>
  <c r="W18" s="1"/>
  <c r="Q18" i="56"/>
  <c r="F126" i="69" s="1"/>
  <c r="X90" i="24"/>
  <c r="Z90" s="1"/>
  <c r="S18" i="56" s="1"/>
  <c r="F159" i="69" s="1"/>
  <c r="I60" i="122"/>
  <c r="M60" s="1"/>
  <c r="O60" s="1"/>
  <c r="I53" i="121"/>
  <c r="O53" s="1"/>
  <c r="Y60" i="122"/>
  <c r="AC60" s="1"/>
  <c r="AE60" s="1"/>
  <c r="Y53" i="121"/>
  <c r="AC53" s="1"/>
  <c r="AE53" s="1"/>
  <c r="S63" i="60"/>
  <c r="H216" i="62" s="1"/>
  <c r="Q60" i="122"/>
  <c r="U60" s="1"/>
  <c r="W60" s="1"/>
  <c r="Q53" i="121"/>
  <c r="U53" s="1"/>
  <c r="W53" s="1"/>
  <c r="I18" i="60"/>
  <c r="Y18"/>
  <c r="I18" i="115"/>
  <c r="G126" i="69" s="1"/>
  <c r="M18" i="115"/>
  <c r="H126" i="69" s="1"/>
  <c r="Q18" i="115"/>
  <c r="I126" i="69" s="1"/>
  <c r="I20" i="115"/>
  <c r="G128" i="69" s="1"/>
  <c r="Q20" i="115"/>
  <c r="I128" i="69" s="1"/>
  <c r="I20" i="121"/>
  <c r="M20" s="1"/>
  <c r="O20" s="1"/>
  <c r="Q20"/>
  <c r="U20" s="1"/>
  <c r="W20" s="1"/>
  <c r="Y20"/>
  <c r="AC20" s="1"/>
  <c r="AE20" s="1"/>
  <c r="I18"/>
  <c r="M18" s="1"/>
  <c r="O18" s="1"/>
  <c r="Q18"/>
  <c r="U18" s="1"/>
  <c r="W18" s="1"/>
  <c r="Q18" i="60"/>
  <c r="Y18" i="121"/>
  <c r="AC18" s="1"/>
  <c r="AE18" s="1"/>
  <c r="Q55"/>
  <c r="U55" s="1"/>
  <c r="W55" s="1"/>
  <c r="I20" i="122"/>
  <c r="M20" s="1"/>
  <c r="O20" s="1"/>
  <c r="Q20"/>
  <c r="U20" s="1"/>
  <c r="W20" s="1"/>
  <c r="Y20"/>
  <c r="AC20" s="1"/>
  <c r="AE20" s="1"/>
  <c r="I62"/>
  <c r="M62" s="1"/>
  <c r="O62" s="1"/>
  <c r="Q62"/>
  <c r="U62" s="1"/>
  <c r="W62" s="1"/>
  <c r="Y62"/>
  <c r="AC62" s="1"/>
  <c r="AE62" s="1"/>
  <c r="M18" i="56"/>
  <c r="E126" i="69" s="1"/>
  <c r="J90" i="24"/>
  <c r="L90" s="1"/>
  <c r="K18" i="56" s="1"/>
  <c r="D159" i="69" s="1"/>
  <c r="K63" i="60"/>
  <c r="G216" i="62" s="1"/>
  <c r="L90" i="10"/>
  <c r="K18" i="120" s="1"/>
  <c r="Q63" i="60"/>
  <c r="H181" i="62" s="1"/>
  <c r="I63" i="60"/>
  <c r="G181" i="62" s="1"/>
  <c r="Y63" i="60"/>
  <c r="I181" i="62" s="1"/>
  <c r="AG90" i="24"/>
  <c r="K18" i="115" s="1"/>
  <c r="G159" i="69" s="1"/>
  <c r="AU90" i="24"/>
  <c r="S18" i="115" s="1"/>
  <c r="I159" i="69" s="1"/>
  <c r="AN90" i="24"/>
  <c r="O18" i="115" s="1"/>
  <c r="H159" i="69" s="1"/>
  <c r="AN92" i="24"/>
  <c r="O20" i="115" s="1"/>
  <c r="H161" i="69" s="1"/>
  <c r="O8" i="122"/>
  <c r="O9" s="1"/>
  <c r="W8"/>
  <c r="AE8"/>
  <c r="O48"/>
  <c r="W48"/>
  <c r="AE48"/>
  <c r="O7"/>
  <c r="AE7"/>
  <c r="O11"/>
  <c r="AE11"/>
  <c r="O12"/>
  <c r="O13" s="1"/>
  <c r="W12"/>
  <c r="AE12"/>
  <c r="O51"/>
  <c r="AE51"/>
  <c r="O52"/>
  <c r="W52"/>
  <c r="AE52"/>
  <c r="O55"/>
  <c r="AE55"/>
  <c r="W6"/>
  <c r="W10"/>
  <c r="W50"/>
  <c r="W54"/>
  <c r="AG12" i="78"/>
  <c r="AG8"/>
  <c r="AG15"/>
  <c r="AG13"/>
  <c r="AG11"/>
  <c r="AG9"/>
  <c r="AC10" i="83"/>
  <c r="AG7" i="78"/>
  <c r="AG14"/>
  <c r="AA57" i="88"/>
  <c r="AC57" s="1"/>
  <c r="AE7" i="83" s="1"/>
  <c r="AA59" i="88"/>
  <c r="AC59" s="1"/>
  <c r="AE9" i="83" s="1"/>
  <c r="AA61" i="88"/>
  <c r="AC61" s="1"/>
  <c r="AE11" i="83" s="1"/>
  <c r="AA58" i="88"/>
  <c r="AC58" s="1"/>
  <c r="AE8" i="83" s="1"/>
  <c r="AA62" i="88"/>
  <c r="AC62" s="1"/>
  <c r="AE12" i="83" s="1"/>
  <c r="AA63" i="88"/>
  <c r="AC63" s="1"/>
  <c r="W63"/>
  <c r="I20" i="56"/>
  <c r="D128" i="69" s="1"/>
  <c r="AG92" i="24"/>
  <c r="K20" i="115" s="1"/>
  <c r="G161" i="69" s="1"/>
  <c r="AU92" i="24"/>
  <c r="S20" i="115" s="1"/>
  <c r="I161" i="69" s="1"/>
  <c r="Z92" i="24"/>
  <c r="S20" i="56" s="1"/>
  <c r="F161" i="69" s="1"/>
  <c r="H66" i="120"/>
  <c r="G66"/>
  <c r="H65"/>
  <c r="G65"/>
  <c r="H24"/>
  <c r="G24"/>
  <c r="H23"/>
  <c r="G23"/>
  <c r="B23" i="115"/>
  <c r="B23" i="56"/>
  <c r="AE58" i="120"/>
  <c r="W58"/>
  <c r="O58"/>
  <c r="AE16"/>
  <c r="W16"/>
  <c r="AR95" i="24"/>
  <c r="AK95"/>
  <c r="AD95"/>
  <c r="T23"/>
  <c r="I24"/>
  <c r="I60" i="10"/>
  <c r="I54"/>
  <c r="I19" i="46"/>
  <c r="I25" i="10"/>
  <c r="I89"/>
  <c r="I19" i="24"/>
  <c r="I19" i="61" s="1"/>
  <c r="P25" i="24"/>
  <c r="I25"/>
  <c r="I25" i="61" s="1"/>
  <c r="I54" i="24"/>
  <c r="I17" i="54" s="1"/>
  <c r="I60" i="24"/>
  <c r="I23" i="54" s="1"/>
  <c r="P89" i="24"/>
  <c r="I89"/>
  <c r="I17" i="56" s="1"/>
  <c r="I24"/>
  <c r="AR96" i="24"/>
  <c r="AK96"/>
  <c r="AD96"/>
  <c r="W96"/>
  <c r="I63" i="112" s="1"/>
  <c r="P96" i="24"/>
  <c r="H63" i="112" s="1"/>
  <c r="AO96" i="24"/>
  <c r="AH96"/>
  <c r="AA96"/>
  <c r="T96"/>
  <c r="M96"/>
  <c r="AD60"/>
  <c r="I23" i="114" s="1"/>
  <c r="AO60" i="24"/>
  <c r="AH60"/>
  <c r="AA60"/>
  <c r="T60"/>
  <c r="M60"/>
  <c r="AD25"/>
  <c r="W25"/>
  <c r="I23" i="58"/>
  <c r="I108" i="24"/>
  <c r="I85" i="60"/>
  <c r="K85"/>
  <c r="Q85"/>
  <c r="S85"/>
  <c r="Y85"/>
  <c r="AA85"/>
  <c r="I40"/>
  <c r="K40"/>
  <c r="Q40"/>
  <c r="S40"/>
  <c r="Y40"/>
  <c r="AA40"/>
  <c r="H40"/>
  <c r="G40"/>
  <c r="M24" i="24"/>
  <c r="M59"/>
  <c r="H24" i="60"/>
  <c r="G24"/>
  <c r="H23"/>
  <c r="G23"/>
  <c r="H69"/>
  <c r="G69"/>
  <c r="H68"/>
  <c r="G68"/>
  <c r="AA60" i="58"/>
  <c r="S60"/>
  <c r="K60"/>
  <c r="K23"/>
  <c r="S23"/>
  <c r="AA23"/>
  <c r="H23"/>
  <c r="G23"/>
  <c r="H22"/>
  <c r="G22"/>
  <c r="H61"/>
  <c r="G61"/>
  <c r="H60"/>
  <c r="G60"/>
  <c r="H25" i="46"/>
  <c r="G25"/>
  <c r="H24"/>
  <c r="G24"/>
  <c r="H65"/>
  <c r="G65"/>
  <c r="H64"/>
  <c r="G64"/>
  <c r="K32" i="58"/>
  <c r="I28" i="24"/>
  <c r="AA63" i="60" l="1"/>
  <c r="I216" i="62" s="1"/>
  <c r="AS92" i="10"/>
  <c r="AU92" s="1"/>
  <c r="AA62" i="120" s="1"/>
  <c r="Y62"/>
  <c r="AC62" s="1"/>
  <c r="AE62" s="1"/>
  <c r="Q92" i="10"/>
  <c r="S92" s="1"/>
  <c r="S20" i="120" s="1"/>
  <c r="Q20"/>
  <c r="U20" s="1"/>
  <c r="W20" s="1"/>
  <c r="AL92" i="10"/>
  <c r="AN92" s="1"/>
  <c r="S62" i="120" s="1"/>
  <c r="Q62"/>
  <c r="U62" s="1"/>
  <c r="W62" s="1"/>
  <c r="S18"/>
  <c r="S18" i="60"/>
  <c r="AA18" i="120"/>
  <c r="AA18" i="60"/>
  <c r="AE92" i="10"/>
  <c r="AG92" s="1"/>
  <c r="K62" i="120" s="1"/>
  <c r="I62"/>
  <c r="M62" s="1"/>
  <c r="O62" s="1"/>
  <c r="X92" i="10"/>
  <c r="Z92" s="1"/>
  <c r="AA20" i="120" s="1"/>
  <c r="Y20"/>
  <c r="AC20" s="1"/>
  <c r="AE20" s="1"/>
  <c r="Y65" i="60"/>
  <c r="I183" i="62" s="1"/>
  <c r="I65" i="60"/>
  <c r="G183" i="62" s="1"/>
  <c r="Q20" i="60"/>
  <c r="E183" i="62" s="1"/>
  <c r="M20" i="56"/>
  <c r="E128" i="69" s="1"/>
  <c r="Q65" i="60"/>
  <c r="H183" i="62" s="1"/>
  <c r="Y20" i="60"/>
  <c r="F183" i="62" s="1"/>
  <c r="E181"/>
  <c r="D181"/>
  <c r="F181"/>
  <c r="D183"/>
  <c r="Q92" i="24"/>
  <c r="S92" s="1"/>
  <c r="O20" i="56" s="1"/>
  <c r="E161" i="69" s="1"/>
  <c r="K18" i="121"/>
  <c r="K18" i="60"/>
  <c r="D216" i="62" s="1"/>
  <c r="K18" i="122"/>
  <c r="S53" i="121"/>
  <c r="S60" i="122"/>
  <c r="K53" i="121"/>
  <c r="K60" i="122"/>
  <c r="AA53" i="121"/>
  <c r="AA60" i="122"/>
  <c r="I17" i="60"/>
  <c r="I17" i="122"/>
  <c r="G63" i="112"/>
  <c r="E111" i="10"/>
  <c r="F111"/>
  <c r="E112"/>
  <c r="F112"/>
  <c r="E113"/>
  <c r="F113"/>
  <c r="E114"/>
  <c r="F114"/>
  <c r="E94"/>
  <c r="G22" i="120" s="1"/>
  <c r="F94" i="10"/>
  <c r="H22" i="120" s="1"/>
  <c r="G94" i="10"/>
  <c r="G87"/>
  <c r="E87"/>
  <c r="F87"/>
  <c r="G58"/>
  <c r="G53"/>
  <c r="G54"/>
  <c r="G55"/>
  <c r="G56"/>
  <c r="G57"/>
  <c r="E53"/>
  <c r="F53"/>
  <c r="E54"/>
  <c r="F54"/>
  <c r="E55"/>
  <c r="F55"/>
  <c r="E56"/>
  <c r="F56"/>
  <c r="E57"/>
  <c r="F57"/>
  <c r="E58"/>
  <c r="F58"/>
  <c r="E70"/>
  <c r="F70"/>
  <c r="E52"/>
  <c r="E33"/>
  <c r="F33"/>
  <c r="E34"/>
  <c r="F34"/>
  <c r="E35"/>
  <c r="F35"/>
  <c r="E22"/>
  <c r="F22"/>
  <c r="G22"/>
  <c r="E23"/>
  <c r="F23"/>
  <c r="G23"/>
  <c r="I82" i="60"/>
  <c r="I113" i="24"/>
  <c r="I37" i="56" s="1"/>
  <c r="AE62" i="46" l="1"/>
  <c r="AE22"/>
  <c r="W22"/>
  <c r="O62"/>
  <c r="W62"/>
  <c r="AE20" i="58"/>
  <c r="AE58"/>
  <c r="O58"/>
  <c r="W20"/>
  <c r="W58"/>
  <c r="I77" i="122"/>
  <c r="H15"/>
  <c r="H57"/>
  <c r="G57"/>
  <c r="G15"/>
  <c r="H64"/>
  <c r="H22"/>
  <c r="H78"/>
  <c r="H36"/>
  <c r="H77"/>
  <c r="H35"/>
  <c r="H76"/>
  <c r="H34"/>
  <c r="H75"/>
  <c r="H33"/>
  <c r="G22"/>
  <c r="G64"/>
  <c r="G36"/>
  <c r="G78"/>
  <c r="G35"/>
  <c r="G77"/>
  <c r="G34"/>
  <c r="G76"/>
  <c r="G33"/>
  <c r="G75"/>
  <c r="H78" i="120"/>
  <c r="H36"/>
  <c r="G78"/>
  <c r="G36"/>
  <c r="AQ58" i="10"/>
  <c r="AR58" s="1"/>
  <c r="AS58" s="1"/>
  <c r="AU58" s="1"/>
  <c r="AJ58"/>
  <c r="AK58" s="1"/>
  <c r="AL58" s="1"/>
  <c r="AN58" s="1"/>
  <c r="AC58"/>
  <c r="AD58" s="1"/>
  <c r="AE58" s="1"/>
  <c r="AG58" s="1"/>
  <c r="V58"/>
  <c r="W58" s="1"/>
  <c r="X58" s="1"/>
  <c r="Z58" s="1"/>
  <c r="O58"/>
  <c r="P58" s="1"/>
  <c r="Q58" s="1"/>
  <c r="S58" s="1"/>
  <c r="I105" i="24"/>
  <c r="H69" i="121"/>
  <c r="G69"/>
  <c r="H34"/>
  <c r="G34"/>
  <c r="H38" i="60"/>
  <c r="G38"/>
  <c r="H83"/>
  <c r="G83"/>
  <c r="H38" i="115"/>
  <c r="G38"/>
  <c r="AU114" i="24"/>
  <c r="S38" i="115" s="1"/>
  <c r="AR114" i="24"/>
  <c r="Q38" i="115" s="1"/>
  <c r="AN114" i="24"/>
  <c r="O39" i="115" s="1"/>
  <c r="AK114" i="24"/>
  <c r="M39" i="115" s="1"/>
  <c r="AG114" i="24"/>
  <c r="K38" i="115" s="1"/>
  <c r="AD114" i="24"/>
  <c r="I38" i="115" s="1"/>
  <c r="Z114" i="24"/>
  <c r="S38" i="56" s="1"/>
  <c r="W114" i="24"/>
  <c r="Q38" i="56" s="1"/>
  <c r="S114" i="24"/>
  <c r="O38" i="56" s="1"/>
  <c r="P114" i="24"/>
  <c r="M38" i="56" s="1"/>
  <c r="L114" i="24"/>
  <c r="K38" i="56" s="1"/>
  <c r="I114" i="24"/>
  <c r="I38" i="56" s="1"/>
  <c r="H38"/>
  <c r="G38"/>
  <c r="AA83" i="60"/>
  <c r="Y83"/>
  <c r="S83"/>
  <c r="Q83"/>
  <c r="K83"/>
  <c r="I83"/>
  <c r="AA38"/>
  <c r="Y38"/>
  <c r="S38"/>
  <c r="Q38"/>
  <c r="K38"/>
  <c r="I38"/>
  <c r="K36" i="122" l="1"/>
  <c r="S36"/>
  <c r="AA36"/>
  <c r="K78"/>
  <c r="S78"/>
  <c r="AA78"/>
  <c r="I36"/>
  <c r="Q36"/>
  <c r="Y36"/>
  <c r="I78"/>
  <c r="Q78"/>
  <c r="Y78"/>
  <c r="O38" i="115"/>
  <c r="M38"/>
  <c r="H37"/>
  <c r="G37"/>
  <c r="G36"/>
  <c r="H37" i="56"/>
  <c r="G37"/>
  <c r="AU113" i="24"/>
  <c r="AR113"/>
  <c r="AK113"/>
  <c r="AN113"/>
  <c r="AG113"/>
  <c r="AD113"/>
  <c r="Z113"/>
  <c r="W113"/>
  <c r="S113"/>
  <c r="P113"/>
  <c r="L113"/>
  <c r="S28"/>
  <c r="S70"/>
  <c r="E18" i="10"/>
  <c r="F18"/>
  <c r="E20"/>
  <c r="F20"/>
  <c r="AA94" i="24"/>
  <c r="L33"/>
  <c r="I33"/>
  <c r="K37" i="56" l="1"/>
  <c r="M37"/>
  <c r="Q37"/>
  <c r="I37" i="115"/>
  <c r="O37"/>
  <c r="Q37"/>
  <c r="O37" i="56"/>
  <c r="S37"/>
  <c r="K37" i="115"/>
  <c r="M37"/>
  <c r="S37"/>
  <c r="AK115" i="24"/>
  <c r="P115"/>
  <c r="M39" i="56" s="1"/>
  <c r="AN115" i="24"/>
  <c r="S115"/>
  <c r="O39" i="56" s="1"/>
  <c r="AE50" i="121"/>
  <c r="AE15"/>
  <c r="W15"/>
  <c r="O15"/>
  <c r="AE49"/>
  <c r="AE14"/>
  <c r="W14"/>
  <c r="AA34" i="60" l="1"/>
  <c r="AA32" i="122" s="1"/>
  <c r="S32"/>
  <c r="K32"/>
  <c r="AA79" i="60"/>
  <c r="AA74" i="122" s="1"/>
  <c r="S79" i="60"/>
  <c r="S74" i="122" s="1"/>
  <c r="K79" i="60"/>
  <c r="K74" i="122" s="1"/>
  <c r="E31" i="10"/>
  <c r="F31"/>
  <c r="E66"/>
  <c r="F66"/>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6" i="24" l="1"/>
  <c r="M56" i="120"/>
  <c r="AC56"/>
  <c r="U56"/>
  <c r="AC14"/>
  <c r="U14"/>
  <c r="M14"/>
  <c r="AF58" i="77"/>
  <c r="AF59"/>
  <c r="AF60"/>
  <c r="AF61"/>
  <c r="AF62"/>
  <c r="AF63"/>
  <c r="AF64"/>
  <c r="AF65"/>
  <c r="AF66"/>
  <c r="AF67"/>
  <c r="AF68"/>
  <c r="AF69"/>
  <c r="AF70"/>
  <c r="AF71"/>
  <c r="AF72"/>
  <c r="AF57"/>
  <c r="AX15" i="10"/>
  <c r="M126" i="24" l="1"/>
  <c r="AV127"/>
  <c r="AV128"/>
  <c r="AV126"/>
  <c r="AO127"/>
  <c r="AO128"/>
  <c r="AO126"/>
  <c r="AH127"/>
  <c r="AH128"/>
  <c r="AH126"/>
  <c r="AA127"/>
  <c r="AA128"/>
  <c r="AA126"/>
  <c r="T127"/>
  <c r="T128"/>
  <c r="T126"/>
  <c r="M127"/>
  <c r="M128"/>
  <c r="I101" i="10"/>
  <c r="AQ8" i="60" s="1"/>
  <c r="I71" i="7"/>
  <c r="I72"/>
  <c r="H72"/>
  <c r="H71"/>
  <c r="AA69" i="121"/>
  <c r="Y69"/>
  <c r="S69"/>
  <c r="Q69"/>
  <c r="K69"/>
  <c r="I69"/>
  <c r="AA34"/>
  <c r="Y34"/>
  <c r="S34"/>
  <c r="Q34"/>
  <c r="K34"/>
  <c r="I34"/>
  <c r="O8" i="118"/>
  <c r="I37" i="60" l="1"/>
  <c r="K37"/>
  <c r="H65" i="121"/>
  <c r="G65"/>
  <c r="H64"/>
  <c r="G64"/>
  <c r="H30"/>
  <c r="G30"/>
  <c r="H29"/>
  <c r="G29"/>
  <c r="H51"/>
  <c r="G51"/>
  <c r="H50"/>
  <c r="G50"/>
  <c r="H49"/>
  <c r="G49"/>
  <c r="H16"/>
  <c r="G16"/>
  <c r="H15"/>
  <c r="G15"/>
  <c r="H14"/>
  <c r="G14"/>
  <c r="Y67"/>
  <c r="Q67"/>
  <c r="I67"/>
  <c r="AC48"/>
  <c r="U48"/>
  <c r="M48"/>
  <c r="AC47"/>
  <c r="AE48" s="1"/>
  <c r="U47"/>
  <c r="W48" s="1"/>
  <c r="M47"/>
  <c r="O48" s="1"/>
  <c r="AC46"/>
  <c r="U46"/>
  <c r="M46"/>
  <c r="AC45"/>
  <c r="AE46" s="1"/>
  <c r="U45"/>
  <c r="W46" s="1"/>
  <c r="M45"/>
  <c r="O46" s="1"/>
  <c r="AC44"/>
  <c r="U44"/>
  <c r="M44"/>
  <c r="AC43"/>
  <c r="AE44" s="1"/>
  <c r="U43"/>
  <c r="W44" s="1"/>
  <c r="M43"/>
  <c r="O43" s="1"/>
  <c r="AC42"/>
  <c r="U42"/>
  <c r="M42"/>
  <c r="AC41"/>
  <c r="AE42" s="1"/>
  <c r="U41"/>
  <c r="W42" s="1"/>
  <c r="M41"/>
  <c r="O42" s="1"/>
  <c r="AD38"/>
  <c r="I38"/>
  <c r="H38"/>
  <c r="I33"/>
  <c r="Y32"/>
  <c r="Q32"/>
  <c r="I32"/>
  <c r="AC13"/>
  <c r="U13"/>
  <c r="M13"/>
  <c r="AC12"/>
  <c r="AE12" s="1"/>
  <c r="U12"/>
  <c r="W13" s="1"/>
  <c r="M12"/>
  <c r="O12" s="1"/>
  <c r="AC11"/>
  <c r="U11"/>
  <c r="M11"/>
  <c r="AC10"/>
  <c r="AE11" s="1"/>
  <c r="U10"/>
  <c r="W11" s="1"/>
  <c r="M10"/>
  <c r="O11" s="1"/>
  <c r="AC9"/>
  <c r="U9"/>
  <c r="M9"/>
  <c r="AC8"/>
  <c r="AE8" s="1"/>
  <c r="U8"/>
  <c r="W9" s="1"/>
  <c r="M8"/>
  <c r="O8" s="1"/>
  <c r="AC7"/>
  <c r="U7"/>
  <c r="M7"/>
  <c r="AC6"/>
  <c r="AE7" s="1"/>
  <c r="U6"/>
  <c r="W7" s="1"/>
  <c r="M6"/>
  <c r="AD3"/>
  <c r="I3"/>
  <c r="H3"/>
  <c r="S118" i="24"/>
  <c r="O13" i="117" s="1"/>
  <c r="P118" i="24"/>
  <c r="S117"/>
  <c r="O12" i="117" s="1"/>
  <c r="P117" i="24"/>
  <c r="AN118"/>
  <c r="O13" i="118" s="1"/>
  <c r="AK118" i="24"/>
  <c r="AN117"/>
  <c r="AK117"/>
  <c r="M12" i="118" s="1"/>
  <c r="AJ128" i="24"/>
  <c r="AJ127"/>
  <c r="AJ126"/>
  <c r="V126"/>
  <c r="AU133" i="10"/>
  <c r="AR133"/>
  <c r="AN133"/>
  <c r="AK133"/>
  <c r="AG133"/>
  <c r="AD133"/>
  <c r="Z133"/>
  <c r="W133"/>
  <c r="S133"/>
  <c r="P133"/>
  <c r="L133"/>
  <c r="AU132"/>
  <c r="AR132"/>
  <c r="AN132"/>
  <c r="AK132"/>
  <c r="AG132"/>
  <c r="AD132"/>
  <c r="Z132"/>
  <c r="W132"/>
  <c r="S132"/>
  <c r="P132"/>
  <c r="L132"/>
  <c r="I133"/>
  <c r="I132"/>
  <c r="V126"/>
  <c r="AJ126"/>
  <c r="AJ127"/>
  <c r="AK101" i="24"/>
  <c r="P101"/>
  <c r="AJ100"/>
  <c r="AK100" s="1"/>
  <c r="AJ99"/>
  <c r="AK99" s="1"/>
  <c r="AJ100" i="10"/>
  <c r="AJ99"/>
  <c r="AK126" s="1"/>
  <c r="AC100"/>
  <c r="AD127" s="1"/>
  <c r="AK101"/>
  <c r="AY53" i="60" s="1"/>
  <c r="P101" i="10"/>
  <c r="M49" i="24"/>
  <c r="M17"/>
  <c r="K66" i="7"/>
  <c r="L66"/>
  <c r="M66"/>
  <c r="N66"/>
  <c r="O66"/>
  <c r="J66"/>
  <c r="K44"/>
  <c r="L44"/>
  <c r="M44"/>
  <c r="N44"/>
  <c r="O44"/>
  <c r="J44"/>
  <c r="K23"/>
  <c r="L23"/>
  <c r="M23"/>
  <c r="N23"/>
  <c r="O23"/>
  <c r="J23"/>
  <c r="C1" i="91"/>
  <c r="C1" i="90"/>
  <c r="A1" i="62"/>
  <c r="AK99" i="10" l="1"/>
  <c r="Q16" i="121"/>
  <c r="AY8" i="60"/>
  <c r="I35" i="122"/>
  <c r="K33" i="121"/>
  <c r="K35" i="122"/>
  <c r="AK132" i="24"/>
  <c r="S133"/>
  <c r="AK100" i="10"/>
  <c r="AY49" i="122" s="1"/>
  <c r="AK127" i="10"/>
  <c r="AL127" s="1"/>
  <c r="S132" i="24"/>
  <c r="AN133"/>
  <c r="AN132"/>
  <c r="O12" i="118"/>
  <c r="AK133" i="24"/>
  <c r="M13" i="118"/>
  <c r="P132" i="24"/>
  <c r="M12" i="117"/>
  <c r="P133" i="24"/>
  <c r="M13" i="117"/>
  <c r="AL100" i="24"/>
  <c r="M7" i="118"/>
  <c r="AK128" i="24"/>
  <c r="M8" i="118"/>
  <c r="AK126" i="24"/>
  <c r="M6" i="118"/>
  <c r="AN100" i="24"/>
  <c r="O7" i="118" s="1"/>
  <c r="P128" i="24"/>
  <c r="K73" i="7" s="1"/>
  <c r="M8" i="117"/>
  <c r="Q51" i="121"/>
  <c r="AE6"/>
  <c r="AK127" i="24"/>
  <c r="AE10" i="121"/>
  <c r="O47"/>
  <c r="W47"/>
  <c r="AE47"/>
  <c r="O6"/>
  <c r="O7" s="1"/>
  <c r="W6"/>
  <c r="O10"/>
  <c r="W10"/>
  <c r="AE43"/>
  <c r="O9"/>
  <c r="AE9"/>
  <c r="O13"/>
  <c r="AE13"/>
  <c r="W8"/>
  <c r="W12"/>
  <c r="O41"/>
  <c r="W41"/>
  <c r="AE41"/>
  <c r="O44"/>
  <c r="O45"/>
  <c r="W45"/>
  <c r="AE45"/>
  <c r="W43"/>
  <c r="AL99" i="24"/>
  <c r="AN99" s="1"/>
  <c r="I65" i="7"/>
  <c r="H65"/>
  <c r="I64"/>
  <c r="H64"/>
  <c r="I63"/>
  <c r="H63"/>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AI56" s="1"/>
  <c r="AF56" s="1"/>
  <c r="C1" i="69"/>
  <c r="B1"/>
  <c r="I45" i="120"/>
  <c r="H45"/>
  <c r="I3"/>
  <c r="H3"/>
  <c r="I48" i="60"/>
  <c r="H48"/>
  <c r="I3"/>
  <c r="H3"/>
  <c r="I3" i="58"/>
  <c r="H3"/>
  <c r="I41"/>
  <c r="H41"/>
  <c r="I43" i="46"/>
  <c r="H43"/>
  <c r="I3"/>
  <c r="F133" i="24"/>
  <c r="E133"/>
  <c r="F132"/>
  <c r="E132"/>
  <c r="F128"/>
  <c r="E128"/>
  <c r="F127"/>
  <c r="E127"/>
  <c r="E126"/>
  <c r="D123"/>
  <c r="C123"/>
  <c r="I75" i="10"/>
  <c r="F75"/>
  <c r="I40"/>
  <c r="F40"/>
  <c r="I3"/>
  <c r="F3"/>
  <c r="D123"/>
  <c r="C123"/>
  <c r="AY51" i="60" l="1"/>
  <c r="AY48" i="122"/>
  <c r="Q49" i="121"/>
  <c r="Q50"/>
  <c r="AY52" i="60"/>
  <c r="AL126" i="24"/>
  <c r="N71" i="7"/>
  <c r="AL128" i="24"/>
  <c r="N73" i="7"/>
  <c r="O6" i="118"/>
  <c r="AN126" i="24"/>
  <c r="AL127"/>
  <c r="N72"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Z4" s="1"/>
  <c r="BF4" s="1"/>
  <c r="C108" i="89"/>
  <c r="C87"/>
  <c r="C66"/>
  <c r="C45"/>
  <c r="C24"/>
  <c r="C3"/>
  <c r="D3" i="84"/>
  <c r="D24" i="79"/>
  <c r="A2" i="77"/>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X25"/>
  <c r="T23"/>
  <c r="T24"/>
  <c r="T25"/>
  <c r="S23"/>
  <c r="S24"/>
  <c r="S25"/>
  <c r="R25"/>
  <c r="J23"/>
  <c r="J24"/>
  <c r="J25"/>
  <c r="H25"/>
  <c r="H22" i="118"/>
  <c r="G22"/>
  <c r="H21"/>
  <c r="G21"/>
  <c r="H20"/>
  <c r="G20"/>
  <c r="H22" i="117"/>
  <c r="G22"/>
  <c r="H21"/>
  <c r="G21"/>
  <c r="H20"/>
  <c r="G20"/>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5"/>
  <c r="AV78"/>
  <c r="AO79"/>
  <c r="AO80"/>
  <c r="AO81"/>
  <c r="AO82"/>
  <c r="AO83"/>
  <c r="AO84"/>
  <c r="AO85"/>
  <c r="AO86"/>
  <c r="AO87"/>
  <c r="AO88"/>
  <c r="AO89"/>
  <c r="AO94"/>
  <c r="AO95"/>
  <c r="AO78"/>
  <c r="AH79"/>
  <c r="AH80"/>
  <c r="AH81"/>
  <c r="AH82"/>
  <c r="AH83"/>
  <c r="AH84"/>
  <c r="AH85"/>
  <c r="AH86"/>
  <c r="AH87"/>
  <c r="AH88"/>
  <c r="AH89"/>
  <c r="AH94"/>
  <c r="AH95"/>
  <c r="AH78"/>
  <c r="AA79"/>
  <c r="AA80"/>
  <c r="AA81"/>
  <c r="AA82"/>
  <c r="AA83"/>
  <c r="AA84"/>
  <c r="AA85"/>
  <c r="AA86"/>
  <c r="AA87"/>
  <c r="AA88"/>
  <c r="AA89"/>
  <c r="AA95"/>
  <c r="AA78"/>
  <c r="T79"/>
  <c r="T80"/>
  <c r="T81"/>
  <c r="T82"/>
  <c r="T83"/>
  <c r="T84"/>
  <c r="T85"/>
  <c r="T86"/>
  <c r="T87"/>
  <c r="T88"/>
  <c r="T89"/>
  <c r="T94"/>
  <c r="T95"/>
  <c r="T78"/>
  <c r="M79"/>
  <c r="M80"/>
  <c r="M81"/>
  <c r="M82"/>
  <c r="M83"/>
  <c r="M84"/>
  <c r="M85"/>
  <c r="M86"/>
  <c r="M87"/>
  <c r="M88"/>
  <c r="M89"/>
  <c r="M93"/>
  <c r="M94"/>
  <c r="M95"/>
  <c r="M78"/>
  <c r="AV44"/>
  <c r="AV45"/>
  <c r="AV46"/>
  <c r="AV47"/>
  <c r="AV48"/>
  <c r="AV49"/>
  <c r="AV50"/>
  <c r="AV51"/>
  <c r="AV52"/>
  <c r="AV53"/>
  <c r="AV54"/>
  <c r="AV55"/>
  <c r="AV56"/>
  <c r="AV57"/>
  <c r="AV58"/>
  <c r="AV59"/>
  <c r="AV43"/>
  <c r="AO44"/>
  <c r="AO45"/>
  <c r="AO46"/>
  <c r="AO47"/>
  <c r="AO48"/>
  <c r="AO49"/>
  <c r="AO50"/>
  <c r="AO51"/>
  <c r="AO52"/>
  <c r="AO53"/>
  <c r="AO54"/>
  <c r="AO55"/>
  <c r="AO56"/>
  <c r="AO57"/>
  <c r="AO58"/>
  <c r="AO59"/>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21"/>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K33" i="60"/>
  <c r="K31" i="122" s="1"/>
  <c r="K29" i="60"/>
  <c r="D180" i="62"/>
  <c r="I17" i="120" l="1"/>
  <c r="D223" i="62" s="1"/>
  <c r="I26" i="60"/>
  <c r="AM24" i="119"/>
  <c r="K25" i="121"/>
  <c r="K27" i="122"/>
  <c r="AM25" i="119"/>
  <c r="AM23"/>
  <c r="Q44" i="115"/>
  <c r="AL25" i="119"/>
  <c r="Y76" i="120"/>
  <c r="Q76"/>
  <c r="I76"/>
  <c r="Y34"/>
  <c r="Q34"/>
  <c r="K35"/>
  <c r="K36"/>
  <c r="I34"/>
  <c r="I35"/>
  <c r="I36"/>
  <c r="M48"/>
  <c r="O48" s="1"/>
  <c r="AC49"/>
  <c r="AC50"/>
  <c r="AE51" s="1"/>
  <c r="AC51"/>
  <c r="AC52"/>
  <c r="AE52" s="1"/>
  <c r="AC53"/>
  <c r="AC54"/>
  <c r="AE54" s="1"/>
  <c r="AC55"/>
  <c r="AC57"/>
  <c r="AE57" s="1"/>
  <c r="AC48"/>
  <c r="AE49" s="1"/>
  <c r="U49"/>
  <c r="U50"/>
  <c r="W50" s="1"/>
  <c r="U51"/>
  <c r="U52"/>
  <c r="W53" s="1"/>
  <c r="U53"/>
  <c r="U54"/>
  <c r="W55" s="1"/>
  <c r="U55"/>
  <c r="U57"/>
  <c r="W57" s="1"/>
  <c r="U48"/>
  <c r="W48" s="1"/>
  <c r="M49"/>
  <c r="M50"/>
  <c r="O51" s="1"/>
  <c r="M51"/>
  <c r="M52"/>
  <c r="O53" s="1"/>
  <c r="M53"/>
  <c r="M54"/>
  <c r="O55" s="1"/>
  <c r="M55"/>
  <c r="M57"/>
  <c r="O57" s="1"/>
  <c r="O56"/>
  <c r="O54"/>
  <c r="W56"/>
  <c r="W49"/>
  <c r="AE56"/>
  <c r="AE53"/>
  <c r="AC7"/>
  <c r="AC8"/>
  <c r="AE8" s="1"/>
  <c r="AC9"/>
  <c r="AC10"/>
  <c r="AE10" s="1"/>
  <c r="AC11"/>
  <c r="AC12"/>
  <c r="AE12" s="1"/>
  <c r="AC13"/>
  <c r="AE14"/>
  <c r="AC15"/>
  <c r="AE15" s="1"/>
  <c r="AC6"/>
  <c r="AE6" s="1"/>
  <c r="U7"/>
  <c r="U8"/>
  <c r="W9" s="1"/>
  <c r="U9"/>
  <c r="U10"/>
  <c r="W11" s="1"/>
  <c r="U11"/>
  <c r="U12"/>
  <c r="W13" s="1"/>
  <c r="U13"/>
  <c r="W14"/>
  <c r="U15"/>
  <c r="W15" s="1"/>
  <c r="U6"/>
  <c r="W7" s="1"/>
  <c r="W54" l="1"/>
  <c r="AE50"/>
  <c r="AE55"/>
  <c r="O50"/>
  <c r="O49"/>
  <c r="O52"/>
  <c r="W51"/>
  <c r="W52"/>
  <c r="AE48"/>
  <c r="W6"/>
  <c r="W8"/>
  <c r="W10"/>
  <c r="W12"/>
  <c r="AE7"/>
  <c r="AE9"/>
  <c r="AE11"/>
  <c r="AE13"/>
  <c r="M7"/>
  <c r="M8"/>
  <c r="M9"/>
  <c r="M10"/>
  <c r="M11"/>
  <c r="M12"/>
  <c r="M13"/>
  <c r="O14"/>
  <c r="M15"/>
  <c r="O15" s="1"/>
  <c r="M6"/>
  <c r="O6" s="1"/>
  <c r="O7" s="1"/>
  <c r="AD45"/>
  <c r="AD3"/>
  <c r="AU112" i="24"/>
  <c r="H100" i="88"/>
  <c r="AM7" i="119"/>
  <c r="E169" i="69" s="1"/>
  <c r="AM8" i="119"/>
  <c r="E170" i="69" s="1"/>
  <c r="AM9" i="119"/>
  <c r="E171" i="69" s="1"/>
  <c r="AM10" i="119"/>
  <c r="E172" i="69" s="1"/>
  <c r="AM11" i="119"/>
  <c r="E173" i="69" s="1"/>
  <c r="AM12" i="119"/>
  <c r="E174" i="69" s="1"/>
  <c r="AM13" i="119"/>
  <c r="E175" i="69" s="1"/>
  <c r="AM14" i="119"/>
  <c r="E176" i="69" s="1"/>
  <c r="AM15" i="119"/>
  <c r="E177" i="69" s="1"/>
  <c r="AM16" i="119"/>
  <c r="E178" i="69" s="1"/>
  <c r="AM17" i="119"/>
  <c r="E179" i="69" s="1"/>
  <c r="AM18" i="119"/>
  <c r="E180" i="69" s="1"/>
  <c r="AM19" i="119"/>
  <c r="E181" i="69" s="1"/>
  <c r="AM20" i="119"/>
  <c r="E182" i="69" s="1"/>
  <c r="AM21" i="119"/>
  <c r="E183" i="69" s="1"/>
  <c r="AL22" i="119"/>
  <c r="D184" i="69" s="1"/>
  <c r="AM22" i="119"/>
  <c r="E184" i="69" s="1"/>
  <c r="E185"/>
  <c r="E186"/>
  <c r="D187"/>
  <c r="E187"/>
  <c r="AM6" i="119"/>
  <c r="E168" i="69" s="1"/>
  <c r="B3" i="119"/>
  <c r="L115" i="24"/>
  <c r="I115"/>
  <c r="D64" i="69"/>
  <c r="E64"/>
  <c r="F64"/>
  <c r="G64"/>
  <c r="H64"/>
  <c r="I64"/>
  <c r="O12" i="120" l="1"/>
  <c r="O13" s="1"/>
  <c r="O10"/>
  <c r="O11"/>
  <c r="O8"/>
  <c r="O9" s="1"/>
  <c r="I158" i="69"/>
  <c r="H158"/>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20" i="24"/>
  <c r="I38" i="113"/>
  <c r="G35" i="69" s="1"/>
  <c r="I38" i="61"/>
  <c r="H13" i="118"/>
  <c r="G13"/>
  <c r="H12"/>
  <c r="G12"/>
  <c r="H8"/>
  <c r="G8"/>
  <c r="H7"/>
  <c r="G7"/>
  <c r="H6"/>
  <c r="G6"/>
  <c r="H13" i="117"/>
  <c r="G13"/>
  <c r="H12"/>
  <c r="G12"/>
  <c r="H8"/>
  <c r="G8"/>
  <c r="H7"/>
  <c r="G7"/>
  <c r="H6"/>
  <c r="G6"/>
  <c r="G31" i="56"/>
  <c r="G30"/>
  <c r="H44" i="115"/>
  <c r="G44"/>
  <c r="H43"/>
  <c r="G43"/>
  <c r="O40"/>
  <c r="G40"/>
  <c r="H39"/>
  <c r="G39"/>
  <c r="S36"/>
  <c r="H36"/>
  <c r="H35"/>
  <c r="G35"/>
  <c r="H34"/>
  <c r="G34"/>
  <c r="H33"/>
  <c r="G33"/>
  <c r="H32"/>
  <c r="G32"/>
  <c r="H31"/>
  <c r="G31"/>
  <c r="H30"/>
  <c r="G30"/>
  <c r="H29"/>
  <c r="G29"/>
  <c r="G26"/>
  <c r="G25"/>
  <c r="S24"/>
  <c r="O24"/>
  <c r="K24"/>
  <c r="H24"/>
  <c r="G24"/>
  <c r="H23"/>
  <c r="G23"/>
  <c r="H22"/>
  <c r="G22"/>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7" i="24"/>
  <c r="E51" i="112"/>
  <c r="E50"/>
  <c r="S37" i="60"/>
  <c r="I73" i="46"/>
  <c r="I117" i="24"/>
  <c r="I132" s="1"/>
  <c r="I109"/>
  <c r="I33" i="60" s="1"/>
  <c r="I31" i="122" s="1"/>
  <c r="I110" i="24"/>
  <c r="I101"/>
  <c r="I128" s="1"/>
  <c r="J73" i="7" s="1"/>
  <c r="I68" i="24"/>
  <c r="K33" i="58"/>
  <c r="K35" i="46"/>
  <c r="I98" i="24"/>
  <c r="I29" i="60"/>
  <c r="L70" i="24"/>
  <c r="G12" i="112"/>
  <c r="H24" i="56"/>
  <c r="H23"/>
  <c r="H22"/>
  <c r="H17"/>
  <c r="H16"/>
  <c r="H15"/>
  <c r="H14"/>
  <c r="H12"/>
  <c r="H10"/>
  <c r="H8"/>
  <c r="H6"/>
  <c r="H39"/>
  <c r="H36"/>
  <c r="H35"/>
  <c r="H34"/>
  <c r="H33"/>
  <c r="H32"/>
  <c r="H31"/>
  <c r="H30"/>
  <c r="H29"/>
  <c r="H44"/>
  <c r="H43"/>
  <c r="H37" i="54"/>
  <c r="H36"/>
  <c r="H33"/>
  <c r="H32"/>
  <c r="H31"/>
  <c r="H30"/>
  <c r="H29"/>
  <c r="H28"/>
  <c r="H27"/>
  <c r="H26"/>
  <c r="H23"/>
  <c r="H22"/>
  <c r="H21"/>
  <c r="H20"/>
  <c r="H19"/>
  <c r="H18"/>
  <c r="H17"/>
  <c r="H16"/>
  <c r="H15"/>
  <c r="H14"/>
  <c r="H12"/>
  <c r="H10"/>
  <c r="H8"/>
  <c r="H6"/>
  <c r="S35" i="122" l="1"/>
  <c r="I25" i="121"/>
  <c r="I27" i="122"/>
  <c r="D193" i="62"/>
  <c r="I32" i="122"/>
  <c r="I16" i="121"/>
  <c r="S35" i="120"/>
  <c r="S33" i="121"/>
  <c r="I8" i="117"/>
  <c r="G25" i="119" s="1"/>
  <c r="J16" i="7"/>
  <c r="J37"/>
  <c r="L89" i="24"/>
  <c r="J58" i="7"/>
  <c r="I12" i="117"/>
  <c r="G17" i="119"/>
  <c r="I34" i="56"/>
  <c r="I140" i="69"/>
  <c r="H39" i="61"/>
  <c r="H38"/>
  <c r="H35"/>
  <c r="H34"/>
  <c r="H33"/>
  <c r="H32"/>
  <c r="H31"/>
  <c r="H29"/>
  <c r="H30"/>
  <c r="H28"/>
  <c r="H25"/>
  <c r="H24"/>
  <c r="H23"/>
  <c r="H22"/>
  <c r="H21"/>
  <c r="H20"/>
  <c r="H19"/>
  <c r="H18"/>
  <c r="H17"/>
  <c r="H16"/>
  <c r="H14"/>
  <c r="H12"/>
  <c r="H9"/>
  <c r="H6"/>
  <c r="F121" i="10"/>
  <c r="F120"/>
  <c r="F106"/>
  <c r="F107"/>
  <c r="F108"/>
  <c r="F109"/>
  <c r="F110"/>
  <c r="F115"/>
  <c r="F117"/>
  <c r="F132" s="1"/>
  <c r="F118"/>
  <c r="F133" s="1"/>
  <c r="F105"/>
  <c r="F80"/>
  <c r="F82"/>
  <c r="F84"/>
  <c r="F86"/>
  <c r="F88"/>
  <c r="F89"/>
  <c r="F95"/>
  <c r="F96"/>
  <c r="I68" i="7"/>
  <c r="F99" i="10"/>
  <c r="F126" s="1"/>
  <c r="F100"/>
  <c r="F127" s="1"/>
  <c r="F101"/>
  <c r="I73"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H14"/>
  <c r="H53"/>
  <c r="H16"/>
  <c r="H56"/>
  <c r="H57"/>
  <c r="H20"/>
  <c r="H59"/>
  <c r="F59" i="10"/>
  <c r="F60"/>
  <c r="F43"/>
  <c r="H6" i="58" s="1"/>
  <c r="F38" i="10"/>
  <c r="H39" i="46" s="1"/>
  <c r="F37" i="10"/>
  <c r="H78" i="46" s="1"/>
  <c r="F29" i="10"/>
  <c r="F30"/>
  <c r="H71" i="46"/>
  <c r="F32" i="10"/>
  <c r="H75" i="46"/>
  <c r="F28" i="10"/>
  <c r="F9"/>
  <c r="H49" i="46" s="1"/>
  <c r="F12" i="10"/>
  <c r="H52" i="46" s="1"/>
  <c r="F14" i="10"/>
  <c r="H54" i="46" s="1"/>
  <c r="H16"/>
  <c r="H57"/>
  <c r="H58"/>
  <c r="F19" i="10"/>
  <c r="H60" i="46"/>
  <c r="F21" i="10"/>
  <c r="H61" i="46" s="1"/>
  <c r="H22"/>
  <c r="H63"/>
  <c r="F24" i="10"/>
  <c r="F25"/>
  <c r="F6"/>
  <c r="H6" i="46" s="1"/>
  <c r="AA37" i="60"/>
  <c r="Y37"/>
  <c r="Q37"/>
  <c r="AA82"/>
  <c r="Y82"/>
  <c r="S82"/>
  <c r="Q82"/>
  <c r="K82"/>
  <c r="D74" i="112"/>
  <c r="D73"/>
  <c r="E88" i="10"/>
  <c r="G88"/>
  <c r="E89"/>
  <c r="G62" i="60" s="1"/>
  <c r="D12" i="112"/>
  <c r="A1" i="7"/>
  <c r="G40" i="56"/>
  <c r="AU116" i="24"/>
  <c r="S40" i="115" s="1"/>
  <c r="AR116" i="24"/>
  <c r="Q40" i="115" s="1"/>
  <c r="AN116" i="24"/>
  <c r="AK116"/>
  <c r="M40" i="115" s="1"/>
  <c r="AG116" i="24"/>
  <c r="K40" i="115" s="1"/>
  <c r="AD116" i="24"/>
  <c r="I40" i="115" s="1"/>
  <c r="Z116" i="24"/>
  <c r="S40" i="56" s="1"/>
  <c r="W116" i="24"/>
  <c r="Q40" i="56" s="1"/>
  <c r="S116" i="24"/>
  <c r="O40" i="56" s="1"/>
  <c r="P116" i="24"/>
  <c r="M40" i="56" s="1"/>
  <c r="L116" i="24"/>
  <c r="K40" i="56" s="1"/>
  <c r="I116" i="24"/>
  <c r="I40" i="56" s="1"/>
  <c r="P109" i="24"/>
  <c r="E105" i="10"/>
  <c r="E106"/>
  <c r="E107"/>
  <c r="E108"/>
  <c r="E109"/>
  <c r="E110"/>
  <c r="E115"/>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1" i="10"/>
  <c r="E120"/>
  <c r="E117"/>
  <c r="E132" s="1"/>
  <c r="E118"/>
  <c r="E133" s="1"/>
  <c r="G80"/>
  <c r="G82"/>
  <c r="G84"/>
  <c r="G86"/>
  <c r="G95"/>
  <c r="G96"/>
  <c r="O16" i="120"/>
  <c r="G99" i="10"/>
  <c r="G100"/>
  <c r="G101"/>
  <c r="G78"/>
  <c r="E80"/>
  <c r="E82"/>
  <c r="E84"/>
  <c r="E86"/>
  <c r="E95"/>
  <c r="E96"/>
  <c r="E99"/>
  <c r="E126" s="1"/>
  <c r="E100"/>
  <c r="E127" s="1"/>
  <c r="E101"/>
  <c r="E128" s="1"/>
  <c r="E78"/>
  <c r="E73"/>
  <c r="G75" i="58" s="1"/>
  <c r="E72" i="10"/>
  <c r="G74" i="58" s="1"/>
  <c r="E64" i="10"/>
  <c r="G65" i="58" s="1"/>
  <c r="E65" i="10"/>
  <c r="G66" i="58" s="1"/>
  <c r="G67"/>
  <c r="E67" i="10"/>
  <c r="E68"/>
  <c r="G69" i="58" s="1"/>
  <c r="E69" i="10"/>
  <c r="G70" i="58" s="1"/>
  <c r="G71"/>
  <c r="E63" i="10"/>
  <c r="G64" i="58" s="1"/>
  <c r="G45" i="10"/>
  <c r="G47"/>
  <c r="G49"/>
  <c r="O19" i="58"/>
  <c r="O20"/>
  <c r="G59" i="10"/>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8"/>
  <c r="G19"/>
  <c r="G20"/>
  <c r="G21"/>
  <c r="G24"/>
  <c r="G6"/>
  <c r="E9"/>
  <c r="G49" i="46" s="1"/>
  <c r="E12" i="10"/>
  <c r="G52" i="46" s="1"/>
  <c r="E14" i="10"/>
  <c r="G54" i="46" s="1"/>
  <c r="E16" i="10"/>
  <c r="G56" i="46" s="1"/>
  <c r="E17" i="10"/>
  <c r="G57" i="46" s="1"/>
  <c r="G58"/>
  <c r="E19" i="10"/>
  <c r="G59" i="46" s="1"/>
  <c r="G60"/>
  <c r="E21" i="10"/>
  <c r="G61" i="46" s="1"/>
  <c r="G62"/>
  <c r="G63"/>
  <c r="E24" i="10"/>
  <c r="E25"/>
  <c r="E6"/>
  <c r="G46" i="46" s="1"/>
  <c r="G44" i="56"/>
  <c r="G43"/>
  <c r="G39"/>
  <c r="G36"/>
  <c r="G35"/>
  <c r="G34"/>
  <c r="G33"/>
  <c r="G32"/>
  <c r="G29"/>
  <c r="G26"/>
  <c r="G25"/>
  <c r="G24"/>
  <c r="G23"/>
  <c r="G22"/>
  <c r="G17"/>
  <c r="G16"/>
  <c r="G15"/>
  <c r="G14"/>
  <c r="G12"/>
  <c r="G10"/>
  <c r="G8"/>
  <c r="G6"/>
  <c r="G68" i="58" l="1"/>
  <c r="G30"/>
  <c r="L102" i="10"/>
  <c r="L129"/>
  <c r="BE51" i="60"/>
  <c r="AW51"/>
  <c r="O49" i="121"/>
  <c r="W49"/>
  <c r="H12"/>
  <c r="H47"/>
  <c r="H8"/>
  <c r="H43"/>
  <c r="BE52" i="60"/>
  <c r="AW52"/>
  <c r="O50" i="121"/>
  <c r="W50"/>
  <c r="H6"/>
  <c r="H41"/>
  <c r="H10"/>
  <c r="H45"/>
  <c r="K77" i="122"/>
  <c r="S77"/>
  <c r="AA77"/>
  <c r="Y35"/>
  <c r="Q77"/>
  <c r="Y77"/>
  <c r="Q35"/>
  <c r="AA35"/>
  <c r="L92" i="10"/>
  <c r="K20" i="120" s="1"/>
  <c r="G40" i="122"/>
  <c r="G82"/>
  <c r="G31"/>
  <c r="G73"/>
  <c r="G29"/>
  <c r="G71"/>
  <c r="G27"/>
  <c r="G69"/>
  <c r="H6"/>
  <c r="H48"/>
  <c r="H17"/>
  <c r="H59"/>
  <c r="H56"/>
  <c r="H14"/>
  <c r="H10"/>
  <c r="H52"/>
  <c r="H69"/>
  <c r="H27"/>
  <c r="H73"/>
  <c r="H31"/>
  <c r="H71"/>
  <c r="H29"/>
  <c r="H82"/>
  <c r="H40"/>
  <c r="G14"/>
  <c r="G56"/>
  <c r="G83"/>
  <c r="G41"/>
  <c r="G74"/>
  <c r="G32"/>
  <c r="G30"/>
  <c r="G72"/>
  <c r="G28"/>
  <c r="G70"/>
  <c r="G17"/>
  <c r="G59"/>
  <c r="G16"/>
  <c r="G58"/>
  <c r="H16"/>
  <c r="H58"/>
  <c r="H54"/>
  <c r="H12"/>
  <c r="H50"/>
  <c r="H8"/>
  <c r="H74"/>
  <c r="H32"/>
  <c r="H72"/>
  <c r="H30"/>
  <c r="H70"/>
  <c r="H28"/>
  <c r="H41"/>
  <c r="H83"/>
  <c r="W65" i="120"/>
  <c r="AE23"/>
  <c r="O23"/>
  <c r="AE65"/>
  <c r="O65"/>
  <c r="W23"/>
  <c r="H61" i="60"/>
  <c r="H16"/>
  <c r="G34"/>
  <c r="G79"/>
  <c r="G17"/>
  <c r="G61"/>
  <c r="G16"/>
  <c r="H62"/>
  <c r="H17"/>
  <c r="H34"/>
  <c r="H79"/>
  <c r="G68" i="46"/>
  <c r="G28"/>
  <c r="G69"/>
  <c r="G29"/>
  <c r="H68"/>
  <c r="H28"/>
  <c r="H74"/>
  <c r="H34"/>
  <c r="H72"/>
  <c r="H32"/>
  <c r="H30"/>
  <c r="H70"/>
  <c r="G74"/>
  <c r="G34"/>
  <c r="G72"/>
  <c r="G32"/>
  <c r="H33"/>
  <c r="H73"/>
  <c r="H69"/>
  <c r="H29"/>
  <c r="J128" i="24"/>
  <c r="I77" i="120"/>
  <c r="I68" i="121"/>
  <c r="K77" i="120"/>
  <c r="K68" i="121"/>
  <c r="Q77" i="120"/>
  <c r="Q68" i="121"/>
  <c r="S77" i="120"/>
  <c r="S68" i="121"/>
  <c r="Y77" i="120"/>
  <c r="Y68" i="121"/>
  <c r="AA77" i="120"/>
  <c r="AA68" i="121"/>
  <c r="Q35" i="120"/>
  <c r="Q33" i="121"/>
  <c r="S36" i="120"/>
  <c r="Y36"/>
  <c r="AA36"/>
  <c r="I78"/>
  <c r="K78"/>
  <c r="Q78"/>
  <c r="S78"/>
  <c r="Y78"/>
  <c r="AA78"/>
  <c r="Q36"/>
  <c r="Y35"/>
  <c r="Y33" i="121"/>
  <c r="AA35" i="120"/>
  <c r="AA33" i="121"/>
  <c r="AL100" i="10"/>
  <c r="AN100" s="1"/>
  <c r="G63" i="121"/>
  <c r="G28"/>
  <c r="G61"/>
  <c r="G26"/>
  <c r="H60"/>
  <c r="H25"/>
  <c r="H63"/>
  <c r="H28"/>
  <c r="H61"/>
  <c r="H26"/>
  <c r="G57"/>
  <c r="G22"/>
  <c r="AL99" i="10"/>
  <c r="AN99" s="1"/>
  <c r="AL126"/>
  <c r="G66" i="121"/>
  <c r="G31"/>
  <c r="G62"/>
  <c r="G27"/>
  <c r="G60"/>
  <c r="G25"/>
  <c r="H22"/>
  <c r="H57"/>
  <c r="H66"/>
  <c r="H31"/>
  <c r="H62"/>
  <c r="H27"/>
  <c r="H68"/>
  <c r="H33"/>
  <c r="G67"/>
  <c r="G32"/>
  <c r="G68"/>
  <c r="G33"/>
  <c r="H67"/>
  <c r="H32"/>
  <c r="F128" i="10"/>
  <c r="H19" i="46"/>
  <c r="H79"/>
  <c r="H9"/>
  <c r="H59"/>
  <c r="H27" i="58"/>
  <c r="G48" i="120"/>
  <c r="G6"/>
  <c r="G67" i="60"/>
  <c r="G64" i="120"/>
  <c r="G60" i="60"/>
  <c r="G57" i="120"/>
  <c r="G15"/>
  <c r="G54"/>
  <c r="G12"/>
  <c r="G50"/>
  <c r="G8"/>
  <c r="G89" i="60"/>
  <c r="G83" i="120"/>
  <c r="G41"/>
  <c r="G80" i="60"/>
  <c r="G75" i="120"/>
  <c r="G33"/>
  <c r="G78" i="60"/>
  <c r="G73" i="120"/>
  <c r="G31"/>
  <c r="G76" i="60"/>
  <c r="G71" i="120"/>
  <c r="G29"/>
  <c r="G29" i="60"/>
  <c r="G69" i="120"/>
  <c r="G27"/>
  <c r="H51" i="60"/>
  <c r="H6" i="120"/>
  <c r="H48"/>
  <c r="H67" i="60"/>
  <c r="H64" i="120"/>
  <c r="H60" i="60"/>
  <c r="H15" i="120"/>
  <c r="H57"/>
  <c r="H57" i="60"/>
  <c r="H12" i="120"/>
  <c r="H54"/>
  <c r="H53" i="60"/>
  <c r="H8" i="120"/>
  <c r="H50"/>
  <c r="H82" i="60"/>
  <c r="H35" i="120"/>
  <c r="H77"/>
  <c r="H80" i="60"/>
  <c r="H33" i="120"/>
  <c r="H75"/>
  <c r="H78" i="60"/>
  <c r="H31" i="120"/>
  <c r="H73"/>
  <c r="H76" i="60"/>
  <c r="H29" i="120"/>
  <c r="H71"/>
  <c r="H88" i="60"/>
  <c r="H40" i="120"/>
  <c r="H82"/>
  <c r="G14" i="60"/>
  <c r="G56" i="120"/>
  <c r="G14"/>
  <c r="G52"/>
  <c r="G10"/>
  <c r="G88" i="60"/>
  <c r="G82" i="120"/>
  <c r="G40"/>
  <c r="G36" i="60"/>
  <c r="G76" i="120"/>
  <c r="G34"/>
  <c r="G77" i="60"/>
  <c r="G72" i="120"/>
  <c r="G30"/>
  <c r="G75" i="60"/>
  <c r="G70" i="120"/>
  <c r="G28"/>
  <c r="G37" i="60"/>
  <c r="G77" i="120"/>
  <c r="G35"/>
  <c r="H14" i="60"/>
  <c r="H14" i="120"/>
  <c r="H56"/>
  <c r="H10" i="60"/>
  <c r="H10" i="120"/>
  <c r="H52"/>
  <c r="H74" i="60"/>
  <c r="H27" i="120"/>
  <c r="H69"/>
  <c r="H81" i="60"/>
  <c r="H34" i="120"/>
  <c r="H76"/>
  <c r="H77" i="60"/>
  <c r="H30" i="120"/>
  <c r="H72"/>
  <c r="H75" i="60"/>
  <c r="H28" i="120"/>
  <c r="H70"/>
  <c r="H89" i="60"/>
  <c r="H41" i="120"/>
  <c r="H83"/>
  <c r="H17" i="46"/>
  <c r="H23"/>
  <c r="H19" i="58"/>
  <c r="H55" i="60"/>
  <c r="H38" i="46"/>
  <c r="H56"/>
  <c r="H74" i="58"/>
  <c r="H46" i="46"/>
  <c r="H62"/>
  <c r="H66" i="58"/>
  <c r="H58"/>
  <c r="H15" i="60"/>
  <c r="H43"/>
  <c r="H12" i="46"/>
  <c r="H18"/>
  <c r="H20"/>
  <c r="H17" i="58"/>
  <c r="H37"/>
  <c r="H55"/>
  <c r="H44" i="60"/>
  <c r="H59"/>
  <c r="H21" i="46"/>
  <c r="H14"/>
  <c r="H21" i="58"/>
  <c r="H18"/>
  <c r="H54"/>
  <c r="H15"/>
  <c r="H52"/>
  <c r="H12"/>
  <c r="H48"/>
  <c r="H8"/>
  <c r="H44"/>
  <c r="H22" i="60"/>
  <c r="H12"/>
  <c r="H8"/>
  <c r="H6"/>
  <c r="H35"/>
  <c r="H33"/>
  <c r="H32"/>
  <c r="H31"/>
  <c r="H30"/>
  <c r="H33" i="58"/>
  <c r="H70"/>
  <c r="H29"/>
  <c r="H26"/>
  <c r="H35" i="46"/>
  <c r="H31"/>
  <c r="H29" i="60"/>
  <c r="H30" i="58"/>
  <c r="H31"/>
  <c r="H36" i="60"/>
  <c r="H37"/>
  <c r="G6" i="46"/>
  <c r="G12"/>
  <c r="G16"/>
  <c r="G18"/>
  <c r="G20"/>
  <c r="G22"/>
  <c r="G30"/>
  <c r="G33"/>
  <c r="G38"/>
  <c r="G6" i="58"/>
  <c r="G10"/>
  <c r="G14"/>
  <c r="G16"/>
  <c r="G18"/>
  <c r="G20"/>
  <c r="G26"/>
  <c r="G28"/>
  <c r="G32"/>
  <c r="G36"/>
  <c r="G15" i="60"/>
  <c r="G22"/>
  <c r="G31"/>
  <c r="G33"/>
  <c r="G35"/>
  <c r="G44"/>
  <c r="G82"/>
  <c r="G59"/>
  <c r="G9" i="46"/>
  <c r="G14"/>
  <c r="G17"/>
  <c r="G19"/>
  <c r="G21"/>
  <c r="G23"/>
  <c r="G31"/>
  <c r="G35"/>
  <c r="G39"/>
  <c r="G8" i="58"/>
  <c r="G12"/>
  <c r="G15"/>
  <c r="G17"/>
  <c r="G19"/>
  <c r="G21"/>
  <c r="G27"/>
  <c r="G29"/>
  <c r="G31"/>
  <c r="G33"/>
  <c r="G37"/>
  <c r="G30" i="60"/>
  <c r="G32"/>
  <c r="G43"/>
  <c r="G81"/>
  <c r="G74"/>
  <c r="A81" i="7"/>
  <c r="E79"/>
  <c r="E85" s="1"/>
  <c r="E78"/>
  <c r="E77"/>
  <c r="I144" i="69"/>
  <c r="W121" i="24"/>
  <c r="AK120"/>
  <c r="AD120"/>
  <c r="AD121"/>
  <c r="B2" i="112"/>
  <c r="D68"/>
  <c r="D58"/>
  <c r="D57"/>
  <c r="D51"/>
  <c r="D43"/>
  <c r="D35"/>
  <c r="D31"/>
  <c r="D30"/>
  <c r="D24"/>
  <c r="D23"/>
  <c r="D17"/>
  <c r="D16"/>
  <c r="D11"/>
  <c r="D5"/>
  <c r="D4"/>
  <c r="BA51" i="60" l="1"/>
  <c r="BA48" i="122"/>
  <c r="BA52" i="60"/>
  <c r="BA49" i="122"/>
  <c r="AS9" i="60"/>
  <c r="K17" i="121"/>
  <c r="AA20" i="60"/>
  <c r="F218" i="62" s="1"/>
  <c r="AA20" i="121"/>
  <c r="AA20" i="122"/>
  <c r="AA65" i="60"/>
  <c r="I218" i="62" s="1"/>
  <c r="AA55" i="121"/>
  <c r="AA62" i="122"/>
  <c r="S20" i="60"/>
  <c r="E218" i="62" s="1"/>
  <c r="S20" i="121"/>
  <c r="S20" i="122"/>
  <c r="S65" i="60"/>
  <c r="H218" i="62" s="1"/>
  <c r="S62" i="122"/>
  <c r="S55" i="121"/>
  <c r="K20"/>
  <c r="K20" i="60"/>
  <c r="D218" i="62" s="1"/>
  <c r="K20" i="122"/>
  <c r="K65" i="60"/>
  <c r="G218" i="62" s="1"/>
  <c r="K55" i="121"/>
  <c r="K62" i="122"/>
  <c r="AN126" i="10"/>
  <c r="S49" i="121"/>
  <c r="AN127" i="10"/>
  <c r="S50" i="121"/>
  <c r="E83" i="7"/>
  <c r="E84"/>
  <c r="I44" i="115"/>
  <c r="G144" i="69" s="1"/>
  <c r="M43" i="115"/>
  <c r="H143" i="69" s="1"/>
  <c r="I43" i="115"/>
  <c r="G143" i="69" s="1"/>
  <c r="Q44" i="56"/>
  <c r="AR97" i="24"/>
  <c r="AK97"/>
  <c r="AD97"/>
  <c r="W97"/>
  <c r="I68" i="112" s="1"/>
  <c r="P97" i="24"/>
  <c r="H68" i="112" s="1"/>
  <c r="O26" i="56"/>
  <c r="K26"/>
  <c r="AR98" i="24"/>
  <c r="Q26" i="115" s="1"/>
  <c r="AK98" i="24"/>
  <c r="M26" i="115" s="1"/>
  <c r="AD98" i="24"/>
  <c r="I26" i="115" s="1"/>
  <c r="W98" i="24"/>
  <c r="P98"/>
  <c r="AR101"/>
  <c r="AD101"/>
  <c r="W101"/>
  <c r="AR89"/>
  <c r="AK89"/>
  <c r="AD89"/>
  <c r="W89"/>
  <c r="I58" i="112" s="1"/>
  <c r="H58"/>
  <c r="G58"/>
  <c r="AR54" i="24"/>
  <c r="AK54"/>
  <c r="AD54"/>
  <c r="W54"/>
  <c r="I31" i="112" s="1"/>
  <c r="P54" i="24"/>
  <c r="H31" i="112" s="1"/>
  <c r="G31"/>
  <c r="AR19" i="24"/>
  <c r="AK19"/>
  <c r="AD19"/>
  <c r="W19"/>
  <c r="I12" i="112" s="1"/>
  <c r="P19" i="24"/>
  <c r="H12" i="112" s="1"/>
  <c r="H73" i="7"/>
  <c r="H68"/>
  <c r="AR98" i="10"/>
  <c r="Y59" i="120" s="1"/>
  <c r="I223" i="62" s="1"/>
  <c r="AK98" i="10"/>
  <c r="Q59" i="120" s="1"/>
  <c r="H223" i="62" s="1"/>
  <c r="AD98" i="10"/>
  <c r="I59" i="120" s="1"/>
  <c r="G223" i="62" s="1"/>
  <c r="Y17" i="120"/>
  <c r="F223" i="62" s="1"/>
  <c r="Q17" i="120"/>
  <c r="E223" i="62" s="1"/>
  <c r="AR89" i="10"/>
  <c r="AK89"/>
  <c r="AD89"/>
  <c r="W89"/>
  <c r="P89"/>
  <c r="AR54"/>
  <c r="Y24" i="120" s="1"/>
  <c r="AK54" i="10"/>
  <c r="Q24" i="120" s="1"/>
  <c r="AD54" i="10"/>
  <c r="W54"/>
  <c r="P54"/>
  <c r="AR19"/>
  <c r="AK19"/>
  <c r="AD19"/>
  <c r="I59" i="46" s="1"/>
  <c r="W19" i="10"/>
  <c r="P19"/>
  <c r="AQ97" i="24"/>
  <c r="AJ97"/>
  <c r="AC97"/>
  <c r="V97"/>
  <c r="O97"/>
  <c r="H97"/>
  <c r="AQ97" i="10"/>
  <c r="AR97" s="1"/>
  <c r="Y58" i="120" s="1"/>
  <c r="I222" i="62" s="1"/>
  <c r="AJ97" i="10"/>
  <c r="AK97" s="1"/>
  <c r="Q58" i="120" s="1"/>
  <c r="H222" i="62" s="1"/>
  <c r="AC97" i="10"/>
  <c r="AD97" s="1"/>
  <c r="I58" i="120" s="1"/>
  <c r="G222" i="62" s="1"/>
  <c r="V97" i="10"/>
  <c r="Y16" i="120" s="1"/>
  <c r="F222" i="62" s="1"/>
  <c r="O97" i="10"/>
  <c r="Q16" i="120" s="1"/>
  <c r="E222" i="62" s="1"/>
  <c r="H97" i="10"/>
  <c r="I16" i="120" s="1"/>
  <c r="D222" i="62" s="1"/>
  <c r="G73" i="65"/>
  <c r="G72"/>
  <c r="Y17" i="60" l="1"/>
  <c r="Y17" i="122"/>
  <c r="Q62" i="60"/>
  <c r="H180" i="62" s="1"/>
  <c r="Q59" i="122"/>
  <c r="Q17" i="60"/>
  <c r="Q17" i="122"/>
  <c r="I62" i="60"/>
  <c r="G180" i="62" s="1"/>
  <c r="I59" i="122"/>
  <c r="Y62" i="60"/>
  <c r="I180" i="62" s="1"/>
  <c r="Y59" i="122"/>
  <c r="I55" i="58"/>
  <c r="I24" i="120"/>
  <c r="I97" i="24"/>
  <c r="G68" i="112" s="1"/>
  <c r="Q26" i="56"/>
  <c r="I69" i="112"/>
  <c r="Q8" i="117"/>
  <c r="Q25" i="119" s="1"/>
  <c r="W128" i="24"/>
  <c r="L73" i="7" s="1"/>
  <c r="Q8" i="118"/>
  <c r="AF25" i="119" s="1"/>
  <c r="AR128" i="24"/>
  <c r="I8" i="118"/>
  <c r="V25" i="119" s="1"/>
  <c r="AD128" i="24"/>
  <c r="M26" i="56"/>
  <c r="H69" i="112"/>
  <c r="K16" i="7"/>
  <c r="M16"/>
  <c r="O16"/>
  <c r="K37"/>
  <c r="M37"/>
  <c r="O37"/>
  <c r="K58"/>
  <c r="M58"/>
  <c r="O58"/>
  <c r="M25" i="115"/>
  <c r="L16" i="7"/>
  <c r="N16"/>
  <c r="L37"/>
  <c r="N37"/>
  <c r="L58"/>
  <c r="N58"/>
  <c r="Q97" i="24"/>
  <c r="Q25" i="115"/>
  <c r="M17" i="114"/>
  <c r="H72" i="69" s="1"/>
  <c r="Z89" i="24"/>
  <c r="AN89"/>
  <c r="M17" i="115"/>
  <c r="M19" i="113"/>
  <c r="H18" i="69" s="1"/>
  <c r="I19" i="113"/>
  <c r="G18" i="69" s="1"/>
  <c r="Q19" i="113"/>
  <c r="I18" i="69" s="1"/>
  <c r="I17" i="114"/>
  <c r="G72" i="69" s="1"/>
  <c r="Q17" i="114"/>
  <c r="I72" i="69" s="1"/>
  <c r="S89" i="24"/>
  <c r="AG89"/>
  <c r="K17" i="115" s="1"/>
  <c r="I17"/>
  <c r="AU89" i="24"/>
  <c r="Q17" i="115"/>
  <c r="AE97" i="24"/>
  <c r="I25" i="115"/>
  <c r="AL97" i="10"/>
  <c r="AN97" s="1"/>
  <c r="AE97"/>
  <c r="AG97" s="1"/>
  <c r="X97"/>
  <c r="Z97" s="1"/>
  <c r="Q97"/>
  <c r="S97" s="1"/>
  <c r="AS97"/>
  <c r="AU97" s="1"/>
  <c r="AG97" i="24"/>
  <c r="K25" i="115" s="1"/>
  <c r="I26" i="56"/>
  <c r="G69" i="112"/>
  <c r="I25" i="56"/>
  <c r="AU97" i="24"/>
  <c r="S25" i="115" s="1"/>
  <c r="AS97" i="24"/>
  <c r="AL97"/>
  <c r="Z97"/>
  <c r="S25" i="56" s="1"/>
  <c r="X97" i="24"/>
  <c r="M25" i="56"/>
  <c r="S97" i="24"/>
  <c r="O25" i="56" s="1"/>
  <c r="Q25"/>
  <c r="K58" i="120" l="1"/>
  <c r="G224" i="62" s="1"/>
  <c r="K70" i="60"/>
  <c r="AA58" i="120"/>
  <c r="I224" i="62" s="1"/>
  <c r="AA70" i="60"/>
  <c r="AA16" i="120"/>
  <c r="F224" i="62" s="1"/>
  <c r="AA25" i="60"/>
  <c r="S58" i="120"/>
  <c r="H224" i="62" s="1"/>
  <c r="S70" i="60"/>
  <c r="S16" i="120"/>
  <c r="E224" i="62" s="1"/>
  <c r="S25" i="60"/>
  <c r="E180" i="62"/>
  <c r="F180"/>
  <c r="W17" i="119"/>
  <c r="AL17" s="1"/>
  <c r="D179" i="69" s="1"/>
  <c r="G158"/>
  <c r="J97" i="24"/>
  <c r="AE128"/>
  <c r="M73" i="7"/>
  <c r="AS128" i="24"/>
  <c r="O73" i="7"/>
  <c r="I125" i="69"/>
  <c r="AF17" i="119"/>
  <c r="G125" i="69"/>
  <c r="V17" i="119"/>
  <c r="H125" i="69"/>
  <c r="AA17" i="119"/>
  <c r="J97" i="10"/>
  <c r="L97" s="1"/>
  <c r="AN97" i="24"/>
  <c r="O25" i="115" s="1"/>
  <c r="L97" i="24"/>
  <c r="K25" i="56" s="1"/>
  <c r="M41" i="88"/>
  <c r="N41" s="1"/>
  <c r="AR110" i="24"/>
  <c r="Y79" i="60" s="1"/>
  <c r="K16" i="120" l="1"/>
  <c r="D224" i="62" s="1"/>
  <c r="K25" i="60"/>
  <c r="I193" i="62"/>
  <c r="Y74" i="122"/>
  <c r="O41" i="88"/>
  <c r="Q41"/>
  <c r="Q34" i="115"/>
  <c r="I138" i="69" s="1"/>
  <c r="C65" i="65"/>
  <c r="C66" s="1"/>
  <c r="D65"/>
  <c r="D66" s="1"/>
  <c r="E65"/>
  <c r="E66" s="1"/>
  <c r="B65"/>
  <c r="B66" s="1"/>
  <c r="AR96" i="10" l="1"/>
  <c r="AK96"/>
  <c r="AD96"/>
  <c r="W96"/>
  <c r="Y24" i="60" s="1"/>
  <c r="P96" i="10"/>
  <c r="Q24" i="60" s="1"/>
  <c r="I96" i="10"/>
  <c r="I24" i="122" s="1"/>
  <c r="Y61" i="58"/>
  <c r="Q61"/>
  <c r="AD60" i="10"/>
  <c r="I61" i="58" s="1"/>
  <c r="Y23"/>
  <c r="Q23"/>
  <c r="Y65" i="46"/>
  <c r="Q65"/>
  <c r="AD25" i="10"/>
  <c r="W25"/>
  <c r="Y25" i="46" s="1"/>
  <c r="P25" i="10"/>
  <c r="Q25" i="46" s="1"/>
  <c r="AR101" i="10"/>
  <c r="AD101"/>
  <c r="AQ53" i="60" s="1"/>
  <c r="W101" i="10"/>
  <c r="BG8" i="60" s="1"/>
  <c r="E5" i="94"/>
  <c r="E6"/>
  <c r="E7"/>
  <c r="E8"/>
  <c r="E4"/>
  <c r="E3"/>
  <c r="Y51" i="121" l="1"/>
  <c r="BG53" i="60"/>
  <c r="Q24" i="122"/>
  <c r="I69" i="60"/>
  <c r="I66" i="122"/>
  <c r="Y69" i="60"/>
  <c r="Y66" i="122"/>
  <c r="Y24"/>
  <c r="Q69" i="60"/>
  <c r="Q66" i="122"/>
  <c r="H74" i="112"/>
  <c r="I24" i="60"/>
  <c r="Y16" i="121"/>
  <c r="AS128" i="10"/>
  <c r="I51" i="121"/>
  <c r="J65" i="7"/>
  <c r="G74" i="112" l="1"/>
  <c r="AG115" i="24" l="1"/>
  <c r="K39" i="115" s="1"/>
  <c r="AD115" i="24"/>
  <c r="I39" i="115" s="1"/>
  <c r="AU115" i="24"/>
  <c r="S39" i="115" s="1"/>
  <c r="AR115" i="24"/>
  <c r="Q39" i="115" s="1"/>
  <c r="Z115" i="24"/>
  <c r="S39" i="56" s="1"/>
  <c r="W115" i="24"/>
  <c r="Q39" i="56" s="1"/>
  <c r="K39"/>
  <c r="I39"/>
  <c r="AD41" i="58"/>
  <c r="AD3"/>
  <c r="AD48" i="60"/>
  <c r="AD3"/>
  <c r="AD43" i="46"/>
  <c r="AD3"/>
  <c r="O22"/>
  <c r="O21"/>
  <c r="V73" i="24" l="1"/>
  <c r="AK72"/>
  <c r="AD72"/>
  <c r="Q74" i="58"/>
  <c r="I74"/>
  <c r="M59" i="88"/>
  <c r="N59" s="1"/>
  <c r="G59"/>
  <c r="H59" s="1"/>
  <c r="M58"/>
  <c r="N58" s="1"/>
  <c r="G58"/>
  <c r="H58" s="1"/>
  <c r="M57"/>
  <c r="N57" s="1"/>
  <c r="G57"/>
  <c r="H57" s="1"/>
  <c r="N42" i="81"/>
  <c r="N41"/>
  <c r="N40"/>
  <c r="J42"/>
  <c r="J41"/>
  <c r="J40"/>
  <c r="F42"/>
  <c r="F41"/>
  <c r="F40"/>
  <c r="N21"/>
  <c r="N20"/>
  <c r="N19"/>
  <c r="J21"/>
  <c r="J20"/>
  <c r="J19"/>
  <c r="F21"/>
  <c r="F20"/>
  <c r="F19"/>
  <c r="I35" i="80"/>
  <c r="I34"/>
  <c r="I33"/>
  <c r="E35"/>
  <c r="E34"/>
  <c r="E33"/>
  <c r="M18"/>
  <c r="M17"/>
  <c r="M16"/>
  <c r="I18"/>
  <c r="I17"/>
  <c r="I16"/>
  <c r="E18"/>
  <c r="E17"/>
  <c r="E16"/>
  <c r="O57" i="88" l="1"/>
  <c r="Q57" s="1"/>
  <c r="I36" i="114"/>
  <c r="G89" i="69" s="1"/>
  <c r="M36" i="114"/>
  <c r="H89" i="69" s="1"/>
  <c r="Q37" i="54"/>
  <c r="I57" i="88"/>
  <c r="K57" s="1"/>
  <c r="O58"/>
  <c r="Q58" s="1"/>
  <c r="I59"/>
  <c r="K59" s="1"/>
  <c r="I58"/>
  <c r="K58" s="1"/>
  <c r="O59"/>
  <c r="Q59" s="1"/>
  <c r="AK41"/>
  <c r="AL41" s="1"/>
  <c r="AE41"/>
  <c r="AF41" s="1"/>
  <c r="Y41"/>
  <c r="S41"/>
  <c r="T41" s="1"/>
  <c r="AK41" i="77"/>
  <c r="AL41" s="1"/>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Q55"/>
  <c r="AG55" s="1"/>
  <c r="AS55" s="1"/>
  <c r="T55"/>
  <c r="AI55" s="1"/>
  <c r="AU55" s="1"/>
  <c r="W55"/>
  <c r="AK55" s="1"/>
  <c r="AW55" s="1"/>
  <c r="I56"/>
  <c r="L56"/>
  <c r="I57"/>
  <c r="L57"/>
  <c r="I58"/>
  <c r="L58"/>
  <c r="I59"/>
  <c r="L59"/>
  <c r="H60"/>
  <c r="AA60" s="1"/>
  <c r="AM60" s="1"/>
  <c r="I60"/>
  <c r="K60"/>
  <c r="AC60" s="1"/>
  <c r="AO60" s="1"/>
  <c r="L60"/>
  <c r="N60"/>
  <c r="AE60" s="1"/>
  <c r="AQ60" s="1"/>
  <c r="Q60"/>
  <c r="AG60" s="1"/>
  <c r="AS60" s="1"/>
  <c r="T60"/>
  <c r="AI60" s="1"/>
  <c r="AU60" s="1"/>
  <c r="W60"/>
  <c r="AK60" s="1"/>
  <c r="AW60" s="1"/>
  <c r="I61"/>
  <c r="L61"/>
  <c r="H62"/>
  <c r="AA62" s="1"/>
  <c r="AM62" s="1"/>
  <c r="I62"/>
  <c r="K62"/>
  <c r="AC62" s="1"/>
  <c r="AO62" s="1"/>
  <c r="L62"/>
  <c r="N62"/>
  <c r="AE62" s="1"/>
  <c r="AQ62" s="1"/>
  <c r="Q62"/>
  <c r="AG62" s="1"/>
  <c r="AS62" s="1"/>
  <c r="T62"/>
  <c r="AI62" s="1"/>
  <c r="AU62" s="1"/>
  <c r="W62"/>
  <c r="AK62" s="1"/>
  <c r="AW62" s="1"/>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O73"/>
  <c r="P73"/>
  <c r="AF73" s="1"/>
  <c r="AR73" s="1"/>
  <c r="Q73"/>
  <c r="AG73" s="1"/>
  <c r="AS73" s="1"/>
  <c r="S73"/>
  <c r="AH73" s="1"/>
  <c r="AT73" s="1"/>
  <c r="T73"/>
  <c r="AI73" s="1"/>
  <c r="AU73" s="1"/>
  <c r="U73"/>
  <c r="V73"/>
  <c r="AJ73" s="1"/>
  <c r="AV73" s="1"/>
  <c r="W73"/>
  <c r="AK73" s="1"/>
  <c r="AW73" s="1"/>
  <c r="X73"/>
  <c r="I74"/>
  <c r="L74"/>
  <c r="O74"/>
  <c r="P74"/>
  <c r="AF74" s="1"/>
  <c r="AR74" s="1"/>
  <c r="Q74"/>
  <c r="AG74" s="1"/>
  <c r="AS74" s="1"/>
  <c r="S74"/>
  <c r="AH74" s="1"/>
  <c r="AT74" s="1"/>
  <c r="T74"/>
  <c r="AI74" s="1"/>
  <c r="AU74" s="1"/>
  <c r="U74"/>
  <c r="V74"/>
  <c r="AJ74" s="1"/>
  <c r="AV74" s="1"/>
  <c r="W74"/>
  <c r="AK74" s="1"/>
  <c r="AW74" s="1"/>
  <c r="X74"/>
  <c r="I75"/>
  <c r="L75"/>
  <c r="O75"/>
  <c r="P75"/>
  <c r="AF75" s="1"/>
  <c r="AR75" s="1"/>
  <c r="Q75"/>
  <c r="AG75" s="1"/>
  <c r="AS75" s="1"/>
  <c r="S75"/>
  <c r="AH75" s="1"/>
  <c r="AT75" s="1"/>
  <c r="T75"/>
  <c r="AI75" s="1"/>
  <c r="AU75" s="1"/>
  <c r="U75"/>
  <c r="V75"/>
  <c r="AJ75" s="1"/>
  <c r="AV75" s="1"/>
  <c r="W75"/>
  <c r="AK75" s="1"/>
  <c r="AW75" s="1"/>
  <c r="X75"/>
  <c r="I76"/>
  <c r="L76"/>
  <c r="Q76"/>
  <c r="AG76" s="1"/>
  <c r="AS76" s="1"/>
  <c r="S76"/>
  <c r="AH76" s="1"/>
  <c r="AT76" s="1"/>
  <c r="T76"/>
  <c r="AI76" s="1"/>
  <c r="AU76" s="1"/>
  <c r="U76"/>
  <c r="V76"/>
  <c r="AJ76" s="1"/>
  <c r="AV76" s="1"/>
  <c r="W76"/>
  <c r="AK76" s="1"/>
  <c r="AW76" s="1"/>
  <c r="X76"/>
  <c r="I77"/>
  <c r="L77"/>
  <c r="Q77"/>
  <c r="AG77" s="1"/>
  <c r="AS77" s="1"/>
  <c r="S77"/>
  <c r="AH77" s="1"/>
  <c r="AT77" s="1"/>
  <c r="T77"/>
  <c r="AI77" s="1"/>
  <c r="AU77" s="1"/>
  <c r="U77"/>
  <c r="V77"/>
  <c r="AJ77" s="1"/>
  <c r="AV77" s="1"/>
  <c r="W77"/>
  <c r="AK77" s="1"/>
  <c r="AW77" s="1"/>
  <c r="X77"/>
  <c r="I78"/>
  <c r="L78"/>
  <c r="Q78"/>
  <c r="AG78" s="1"/>
  <c r="AS78" s="1"/>
  <c r="S78"/>
  <c r="AH78" s="1"/>
  <c r="AT78" s="1"/>
  <c r="T78"/>
  <c r="AI78" s="1"/>
  <c r="AU78" s="1"/>
  <c r="U78"/>
  <c r="V78"/>
  <c r="AJ78" s="1"/>
  <c r="AV78" s="1"/>
  <c r="W78"/>
  <c r="AK78" s="1"/>
  <c r="AW78" s="1"/>
  <c r="X78"/>
  <c r="I79"/>
  <c r="L79"/>
  <c r="N79"/>
  <c r="AE79" s="1"/>
  <c r="AQ79" s="1"/>
  <c r="Q79"/>
  <c r="AG79" s="1"/>
  <c r="AS79" s="1"/>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Q81"/>
  <c r="AG81" s="1"/>
  <c r="AS81" s="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P85"/>
  <c r="AF85" s="1"/>
  <c r="AR85" s="1"/>
  <c r="Q85"/>
  <c r="AG85" s="1"/>
  <c r="AS85" s="1"/>
  <c r="R85"/>
  <c r="S85"/>
  <c r="AH85" s="1"/>
  <c r="AT85" s="1"/>
  <c r="T85"/>
  <c r="AI85" s="1"/>
  <c r="AU85" s="1"/>
  <c r="U85"/>
  <c r="V85"/>
  <c r="AJ85" s="1"/>
  <c r="AV85" s="1"/>
  <c r="W85"/>
  <c r="AK85" s="1"/>
  <c r="AW85" s="1"/>
  <c r="X85"/>
  <c r="I86"/>
  <c r="L86"/>
  <c r="N86"/>
  <c r="AE86" s="1"/>
  <c r="AQ86" s="1"/>
  <c r="Q86"/>
  <c r="AG86" s="1"/>
  <c r="AS86" s="1"/>
  <c r="R86"/>
  <c r="S86"/>
  <c r="AH86" s="1"/>
  <c r="AT86" s="1"/>
  <c r="T86"/>
  <c r="AI86" s="1"/>
  <c r="AU86" s="1"/>
  <c r="U86"/>
  <c r="V86"/>
  <c r="AJ86" s="1"/>
  <c r="AV86" s="1"/>
  <c r="W86"/>
  <c r="AK86" s="1"/>
  <c r="AW86" s="1"/>
  <c r="X86"/>
  <c r="I87"/>
  <c r="L87"/>
  <c r="N87"/>
  <c r="AE87" s="1"/>
  <c r="AQ87" s="1"/>
  <c r="Q87"/>
  <c r="AG87" s="1"/>
  <c r="AS87" s="1"/>
  <c r="R87"/>
  <c r="S87"/>
  <c r="AH87" s="1"/>
  <c r="AT87" s="1"/>
  <c r="T87"/>
  <c r="AI87" s="1"/>
  <c r="AU87" s="1"/>
  <c r="U87"/>
  <c r="V87"/>
  <c r="AJ87" s="1"/>
  <c r="AV87" s="1"/>
  <c r="W87"/>
  <c r="AK87" s="1"/>
  <c r="AW87" s="1"/>
  <c r="X87"/>
  <c r="I88"/>
  <c r="L88"/>
  <c r="N88"/>
  <c r="AE88" s="1"/>
  <c r="AQ88" s="1"/>
  <c r="Q88"/>
  <c r="AG88" s="1"/>
  <c r="AS88" s="1"/>
  <c r="R88"/>
  <c r="S88"/>
  <c r="AH88" s="1"/>
  <c r="AT88" s="1"/>
  <c r="T88"/>
  <c r="AI88" s="1"/>
  <c r="AU88" s="1"/>
  <c r="U88"/>
  <c r="V88"/>
  <c r="AJ88" s="1"/>
  <c r="AV88" s="1"/>
  <c r="W88"/>
  <c r="AK88" s="1"/>
  <c r="AW88" s="1"/>
  <c r="X88"/>
  <c r="I89"/>
  <c r="L89"/>
  <c r="N89"/>
  <c r="AE89" s="1"/>
  <c r="AQ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P90"/>
  <c r="AF90" s="1"/>
  <c r="AR90" s="1"/>
  <c r="Q90"/>
  <c r="AG90" s="1"/>
  <c r="AS90" s="1"/>
  <c r="R90"/>
  <c r="S90"/>
  <c r="AH90" s="1"/>
  <c r="AT90" s="1"/>
  <c r="T90"/>
  <c r="AI90" s="1"/>
  <c r="AU90" s="1"/>
  <c r="U90"/>
  <c r="V90"/>
  <c r="AJ90" s="1"/>
  <c r="AV90" s="1"/>
  <c r="W90"/>
  <c r="AK90" s="1"/>
  <c r="AW90" s="1"/>
  <c r="X90"/>
  <c r="I91"/>
  <c r="L91"/>
  <c r="N91"/>
  <c r="AE91" s="1"/>
  <c r="AQ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P92"/>
  <c r="AF92" s="1"/>
  <c r="AR92" s="1"/>
  <c r="Q92"/>
  <c r="AG92" s="1"/>
  <c r="AS92" s="1"/>
  <c r="R92"/>
  <c r="S92"/>
  <c r="AH92" s="1"/>
  <c r="AT92" s="1"/>
  <c r="T92"/>
  <c r="AI92" s="1"/>
  <c r="AU92" s="1"/>
  <c r="U92"/>
  <c r="V92"/>
  <c r="AJ92" s="1"/>
  <c r="AV92" s="1"/>
  <c r="W92"/>
  <c r="AK92" s="1"/>
  <c r="AW92" s="1"/>
  <c r="X92"/>
  <c r="I93"/>
  <c r="L93"/>
  <c r="N93"/>
  <c r="AE93" s="1"/>
  <c r="AQ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P94"/>
  <c r="AF94" s="1"/>
  <c r="AR94" s="1"/>
  <c r="Q94"/>
  <c r="AG94" s="1"/>
  <c r="AS94" s="1"/>
  <c r="R94"/>
  <c r="S94"/>
  <c r="AH94" s="1"/>
  <c r="AT94" s="1"/>
  <c r="T94"/>
  <c r="AI94" s="1"/>
  <c r="AU94" s="1"/>
  <c r="U94"/>
  <c r="V94"/>
  <c r="AJ94" s="1"/>
  <c r="AV94" s="1"/>
  <c r="W94"/>
  <c r="AK94" s="1"/>
  <c r="AW94" s="1"/>
  <c r="X94"/>
  <c r="I95"/>
  <c r="L95"/>
  <c r="N95"/>
  <c r="AE95" s="1"/>
  <c r="AQ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C30"/>
  <c r="F29"/>
  <c r="E29"/>
  <c r="C29"/>
  <c r="F28"/>
  <c r="E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c r="U41"/>
  <c r="W41"/>
  <c r="X49" i="89" s="1"/>
  <c r="AG41" i="88"/>
  <c r="AI41"/>
  <c r="M6" i="7"/>
  <c r="O6"/>
  <c r="O11"/>
  <c r="L6"/>
  <c r="N6"/>
  <c r="O9"/>
  <c r="Z9" i="24"/>
  <c r="Z10" s="1"/>
  <c r="Z11" s="1"/>
  <c r="M9" i="113"/>
  <c r="H8" i="69" s="1"/>
  <c r="Q12" i="113"/>
  <c r="I11" i="69" s="1"/>
  <c r="I9" i="113"/>
  <c r="G8" i="69" s="1"/>
  <c r="Q9" i="113"/>
  <c r="I8" i="69" s="1"/>
  <c r="Q14" i="113"/>
  <c r="I13" i="69" s="1"/>
  <c r="AL9" i="24"/>
  <c r="AN9" s="1"/>
  <c r="Q9"/>
  <c r="S9" s="1"/>
  <c r="S10" s="1"/>
  <c r="S11" s="1"/>
  <c r="AE9"/>
  <c r="AG9" s="1"/>
  <c r="N41" i="77"/>
  <c r="O41" s="1"/>
  <c r="Q41" s="1"/>
  <c r="U70" i="89"/>
  <c r="Z41" i="88"/>
  <c r="U91" i="89"/>
  <c r="U28"/>
  <c r="X9" i="24"/>
  <c r="X91" i="89"/>
  <c r="U49"/>
  <c r="X28"/>
  <c r="U112"/>
  <c r="W12" i="24"/>
  <c r="AK12"/>
  <c r="P14"/>
  <c r="AD14"/>
  <c r="P12"/>
  <c r="AD12"/>
  <c r="W14"/>
  <c r="AK14"/>
  <c r="AA41" i="88" l="1"/>
  <c r="AC41"/>
  <c r="X70" i="89" s="1"/>
  <c r="L11" i="7"/>
  <c r="K9"/>
  <c r="K11"/>
  <c r="L9"/>
  <c r="N11"/>
  <c r="M9"/>
  <c r="M11"/>
  <c r="N9"/>
  <c r="O9" i="113"/>
  <c r="H42" i="69" s="1"/>
  <c r="AN10" i="24"/>
  <c r="AN11" s="1"/>
  <c r="K9" i="113"/>
  <c r="G42" i="69" s="1"/>
  <c r="AG10" i="24"/>
  <c r="AG11" s="1"/>
  <c r="AN14"/>
  <c r="AN15" s="1"/>
  <c r="M14" i="113"/>
  <c r="H13" i="69" s="1"/>
  <c r="I12" i="113"/>
  <c r="G11" i="69" s="1"/>
  <c r="I14" i="113"/>
  <c r="G13" i="69" s="1"/>
  <c r="M12" i="113"/>
  <c r="H11" i="69" s="1"/>
  <c r="Q12" i="24"/>
  <c r="S12" s="1"/>
  <c r="S13" s="1"/>
  <c r="X12"/>
  <c r="Z12" s="1"/>
  <c r="Z13" s="1"/>
  <c r="AL14"/>
  <c r="AE14"/>
  <c r="AG14" s="1"/>
  <c r="AE12"/>
  <c r="AG12" s="1"/>
  <c r="AL12"/>
  <c r="AN12" s="1"/>
  <c r="AN13" s="1"/>
  <c r="X14"/>
  <c r="O7" i="74" s="1"/>
  <c r="Q14" i="24"/>
  <c r="S14" s="1"/>
  <c r="S15" s="1"/>
  <c r="X112" i="89"/>
  <c r="H9" i="83"/>
  <c r="C104" i="91" s="1"/>
  <c r="T1" i="78"/>
  <c r="R3"/>
  <c r="P3" i="86" s="1"/>
  <c r="G75" i="74"/>
  <c r="Z75" s="1"/>
  <c r="AL75" s="1"/>
  <c r="C47"/>
  <c r="E47"/>
  <c r="F47"/>
  <c r="I47"/>
  <c r="L47"/>
  <c r="C48"/>
  <c r="E48"/>
  <c r="F48"/>
  <c r="I48"/>
  <c r="L48"/>
  <c r="C49"/>
  <c r="E49"/>
  <c r="F49"/>
  <c r="I49"/>
  <c r="L49"/>
  <c r="C50"/>
  <c r="E50"/>
  <c r="F50"/>
  <c r="I50"/>
  <c r="K50"/>
  <c r="AC50" s="1"/>
  <c r="AO50" s="1"/>
  <c r="L50"/>
  <c r="N50"/>
  <c r="AE50" s="1"/>
  <c r="AQ50" s="1"/>
  <c r="Q50"/>
  <c r="AG50" s="1"/>
  <c r="AS50" s="1"/>
  <c r="T50"/>
  <c r="AI50" s="1"/>
  <c r="AU50" s="1"/>
  <c r="W50"/>
  <c r="AK50" s="1"/>
  <c r="AW50" s="1"/>
  <c r="C51"/>
  <c r="E51"/>
  <c r="F51"/>
  <c r="I51"/>
  <c r="L51"/>
  <c r="C52"/>
  <c r="E52"/>
  <c r="F52"/>
  <c r="I52"/>
  <c r="L52"/>
  <c r="C53"/>
  <c r="E53"/>
  <c r="F53"/>
  <c r="H53"/>
  <c r="AA53" s="1"/>
  <c r="AM53" s="1"/>
  <c r="I53"/>
  <c r="K53"/>
  <c r="AC53" s="1"/>
  <c r="AO53" s="1"/>
  <c r="L53"/>
  <c r="N53"/>
  <c r="AE53" s="1"/>
  <c r="AQ53" s="1"/>
  <c r="Q53"/>
  <c r="AG53" s="1"/>
  <c r="AS53" s="1"/>
  <c r="T53"/>
  <c r="AI53" s="1"/>
  <c r="AU53" s="1"/>
  <c r="W53"/>
  <c r="AK53" s="1"/>
  <c r="AW53" s="1"/>
  <c r="C54"/>
  <c r="E54"/>
  <c r="F54"/>
  <c r="I54"/>
  <c r="L54"/>
  <c r="C55"/>
  <c r="E55"/>
  <c r="F55"/>
  <c r="C56"/>
  <c r="E56"/>
  <c r="F56"/>
  <c r="C57"/>
  <c r="E57"/>
  <c r="F57"/>
  <c r="C58"/>
  <c r="E58"/>
  <c r="F58"/>
  <c r="C59"/>
  <c r="E59"/>
  <c r="F59"/>
  <c r="C60"/>
  <c r="E60"/>
  <c r="F60"/>
  <c r="C61"/>
  <c r="E61"/>
  <c r="F61"/>
  <c r="C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L46"/>
  <c r="I46"/>
  <c r="F46"/>
  <c r="E46"/>
  <c r="C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N99"/>
  <c r="H99"/>
  <c r="M98"/>
  <c r="G98"/>
  <c r="H98" s="1"/>
  <c r="M97"/>
  <c r="O94" i="74" s="1"/>
  <c r="C184" i="91"/>
  <c r="G97" i="88"/>
  <c r="M96"/>
  <c r="G96"/>
  <c r="M95"/>
  <c r="O92" i="74" s="1"/>
  <c r="G95" i="88"/>
  <c r="M94"/>
  <c r="G94"/>
  <c r="M93"/>
  <c r="O90" i="74" s="1"/>
  <c r="G93" i="88"/>
  <c r="M92"/>
  <c r="G92"/>
  <c r="M91"/>
  <c r="G91"/>
  <c r="H91" s="1"/>
  <c r="M90"/>
  <c r="G90"/>
  <c r="H90" s="1"/>
  <c r="M89"/>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O85" i="74" s="1"/>
  <c r="M71" i="88"/>
  <c r="O84" i="74" s="1"/>
  <c r="N66" i="88"/>
  <c r="L16" i="83" s="1"/>
  <c r="H66" i="88"/>
  <c r="S65"/>
  <c r="R81" i="74" s="1"/>
  <c r="N65" i="88"/>
  <c r="M65"/>
  <c r="O81" i="74" s="1"/>
  <c r="H65" i="88"/>
  <c r="G65"/>
  <c r="N64"/>
  <c r="H64"/>
  <c r="S63"/>
  <c r="R79" i="74" s="1"/>
  <c r="N63" i="88"/>
  <c r="M63"/>
  <c r="O79" i="74" s="1"/>
  <c r="H63" i="88"/>
  <c r="G63"/>
  <c r="S62"/>
  <c r="M62"/>
  <c r="G62"/>
  <c r="H62" s="1"/>
  <c r="S61"/>
  <c r="M61"/>
  <c r="G61"/>
  <c r="H61" s="1"/>
  <c r="S60"/>
  <c r="M60"/>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O43" s="1"/>
  <c r="AE43"/>
  <c r="Y43"/>
  <c r="Z43" s="1"/>
  <c r="AC43" s="1"/>
  <c r="S43"/>
  <c r="T43" s="1"/>
  <c r="W43" s="1"/>
  <c r="M43"/>
  <c r="G43"/>
  <c r="AK42"/>
  <c r="AL42" s="1"/>
  <c r="AE42"/>
  <c r="Y42"/>
  <c r="S42"/>
  <c r="T42" s="1"/>
  <c r="M42"/>
  <c r="G42"/>
  <c r="T63" i="74"/>
  <c r="AI63" s="1"/>
  <c r="AU63" s="1"/>
  <c r="P63"/>
  <c r="AF63" s="1"/>
  <c r="AR63" s="1"/>
  <c r="J63"/>
  <c r="AB63" s="1"/>
  <c r="AN63" s="1"/>
  <c r="G41" i="88"/>
  <c r="H41" s="1"/>
  <c r="AO36"/>
  <c r="R128" i="89" s="1"/>
  <c r="AL36" i="88"/>
  <c r="O128" i="89" s="1"/>
  <c r="AI36" i="88"/>
  <c r="AF36"/>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X62" i="74" s="1"/>
  <c r="Y31" i="88"/>
  <c r="S31"/>
  <c r="R62" i="74" s="1"/>
  <c r="M31" i="88"/>
  <c r="O62" i="74" s="1"/>
  <c r="G31" i="88"/>
  <c r="AK30"/>
  <c r="AL30" s="1"/>
  <c r="AE30"/>
  <c r="X61" i="74" s="1"/>
  <c r="Y30" i="88"/>
  <c r="S30"/>
  <c r="R61" i="74" s="1"/>
  <c r="M30" i="88"/>
  <c r="O61" i="74" s="1"/>
  <c r="G30" i="88"/>
  <c r="AK29"/>
  <c r="AL29" s="1"/>
  <c r="AE29"/>
  <c r="X60" i="74" s="1"/>
  <c r="Y29" i="88"/>
  <c r="S29"/>
  <c r="R60" i="74" s="1"/>
  <c r="M29" i="88"/>
  <c r="O60" i="74" s="1"/>
  <c r="G29" i="88"/>
  <c r="H29" s="1"/>
  <c r="AK28"/>
  <c r="AE28"/>
  <c r="X59" i="74" s="1"/>
  <c r="Y28" i="88"/>
  <c r="U59" i="74" s="1"/>
  <c r="S28" i="88"/>
  <c r="R59" i="74" s="1"/>
  <c r="M28" i="88"/>
  <c r="O59" i="74" s="1"/>
  <c r="G28" i="88"/>
  <c r="AK27"/>
  <c r="AL27" s="1"/>
  <c r="AE27"/>
  <c r="X58" i="74" s="1"/>
  <c r="Y27" i="88"/>
  <c r="S27"/>
  <c r="R58" i="74" s="1"/>
  <c r="M27" i="88"/>
  <c r="O58" i="74" s="1"/>
  <c r="G27" i="88"/>
  <c r="H27" s="1"/>
  <c r="AK26"/>
  <c r="AL26" s="1"/>
  <c r="AE26"/>
  <c r="Y26"/>
  <c r="S26"/>
  <c r="R57" i="74" s="1"/>
  <c r="M26" i="88"/>
  <c r="O57" i="74" s="1"/>
  <c r="G26" i="88"/>
  <c r="H26" s="1"/>
  <c r="AK25"/>
  <c r="AL25" s="1"/>
  <c r="AE25"/>
  <c r="Y25"/>
  <c r="S25"/>
  <c r="R56" i="74" s="1"/>
  <c r="M25" i="88"/>
  <c r="O56" i="74" s="1"/>
  <c r="G25" i="88"/>
  <c r="H25" s="1"/>
  <c r="AO20"/>
  <c r="AL20"/>
  <c r="Q30" i="92" s="1"/>
  <c r="AD30" s="1"/>
  <c r="AP30" s="1"/>
  <c r="AI20" i="88"/>
  <c r="AF20"/>
  <c r="AC20"/>
  <c r="Z20"/>
  <c r="M30" i="92" s="1"/>
  <c r="Z30" s="1"/>
  <c r="AL30" s="1"/>
  <c r="W20" i="88"/>
  <c r="T20"/>
  <c r="Q20"/>
  <c r="N20"/>
  <c r="K20"/>
  <c r="H20"/>
  <c r="AO19"/>
  <c r="AL19"/>
  <c r="AI19"/>
  <c r="AF19"/>
  <c r="AC19"/>
  <c r="Z19"/>
  <c r="W19"/>
  <c r="T19"/>
  <c r="N20" i="84" s="1"/>
  <c r="F18" i="91" s="1"/>
  <c r="Q19" i="88"/>
  <c r="N19"/>
  <c r="K19"/>
  <c r="H19"/>
  <c r="AO18"/>
  <c r="AL18"/>
  <c r="Q28" i="92" s="1"/>
  <c r="AD28" s="1"/>
  <c r="AP28" s="1"/>
  <c r="AI18" i="88"/>
  <c r="AF18"/>
  <c r="AC18"/>
  <c r="Z18"/>
  <c r="W18"/>
  <c r="T18"/>
  <c r="Q18"/>
  <c r="N18"/>
  <c r="I42" i="89" s="1"/>
  <c r="K18" i="88"/>
  <c r="H18"/>
  <c r="I21" i="89" s="1"/>
  <c r="AK15" i="88"/>
  <c r="AL15" s="1"/>
  <c r="AE15"/>
  <c r="Y15"/>
  <c r="S15"/>
  <c r="M15"/>
  <c r="G15"/>
  <c r="H15" s="1"/>
  <c r="AK14"/>
  <c r="AL14" s="1"/>
  <c r="AO14" s="1"/>
  <c r="AE14"/>
  <c r="AF14" s="1"/>
  <c r="AI14" s="1"/>
  <c r="Y14"/>
  <c r="Z14" s="1"/>
  <c r="AC14" s="1"/>
  <c r="S14"/>
  <c r="T14" s="1"/>
  <c r="M14"/>
  <c r="N14" s="1"/>
  <c r="G14"/>
  <c r="H14" s="1"/>
  <c r="K14" s="1"/>
  <c r="AK13"/>
  <c r="AL13" s="1"/>
  <c r="AE13"/>
  <c r="AF13" s="1"/>
  <c r="D53" i="74" s="1"/>
  <c r="Y13" i="88"/>
  <c r="Z13" s="1"/>
  <c r="S13"/>
  <c r="T13" s="1"/>
  <c r="M13"/>
  <c r="N13" s="1"/>
  <c r="G13"/>
  <c r="H13" s="1"/>
  <c r="AK12"/>
  <c r="AE12"/>
  <c r="X52" i="74" s="1"/>
  <c r="Y12" i="88"/>
  <c r="U52" i="74" s="1"/>
  <c r="S12" i="88"/>
  <c r="R52" i="74" s="1"/>
  <c r="M12" i="88"/>
  <c r="O52" i="74" s="1"/>
  <c r="G12" i="88"/>
  <c r="AK11"/>
  <c r="AL11" s="1"/>
  <c r="AO11" s="1"/>
  <c r="AE11"/>
  <c r="AF11" s="1"/>
  <c r="D51" i="74" s="1"/>
  <c r="Y11" i="88"/>
  <c r="Z11" s="1"/>
  <c r="AC11" s="1"/>
  <c r="S11"/>
  <c r="T11" s="1"/>
  <c r="M11"/>
  <c r="N11" s="1"/>
  <c r="G11"/>
  <c r="H11" s="1"/>
  <c r="K11" s="1"/>
  <c r="C11"/>
  <c r="AK10"/>
  <c r="AL10" s="1"/>
  <c r="AE10"/>
  <c r="AF10" s="1"/>
  <c r="Y10"/>
  <c r="Z10" s="1"/>
  <c r="S10"/>
  <c r="T10" s="1"/>
  <c r="M10"/>
  <c r="N10" s="1"/>
  <c r="G10"/>
  <c r="H10" s="1"/>
  <c r="AK9"/>
  <c r="AE9"/>
  <c r="X49" i="74" s="1"/>
  <c r="Y9" i="88"/>
  <c r="U49" i="74" s="1"/>
  <c r="S9" i="88"/>
  <c r="R49" i="74" s="1"/>
  <c r="M9" i="88"/>
  <c r="O49" i="74" s="1"/>
  <c r="G9" i="88"/>
  <c r="AK8"/>
  <c r="AL8" s="1"/>
  <c r="AO8" s="1"/>
  <c r="AE8"/>
  <c r="AF8" s="1"/>
  <c r="D48" i="74" s="1"/>
  <c r="Y8" i="88"/>
  <c r="Z8" s="1"/>
  <c r="S8"/>
  <c r="T8" s="1"/>
  <c r="M8"/>
  <c r="N8" s="1"/>
  <c r="G8"/>
  <c r="H8" s="1"/>
  <c r="C8"/>
  <c r="AK7"/>
  <c r="AL7" s="1"/>
  <c r="AE7"/>
  <c r="AF7" s="1"/>
  <c r="Y7"/>
  <c r="Z7" s="1"/>
  <c r="S7"/>
  <c r="T7" s="1"/>
  <c r="M7"/>
  <c r="N7" s="1"/>
  <c r="G7"/>
  <c r="H7" s="1"/>
  <c r="AK6"/>
  <c r="AL6" s="1"/>
  <c r="AO6" s="1"/>
  <c r="AE6"/>
  <c r="AF6" s="1"/>
  <c r="D46" i="74" s="1"/>
  <c r="Y6" i="88"/>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D172" i="90"/>
  <c r="I33" i="82"/>
  <c r="G33"/>
  <c r="C172" i="90" s="1"/>
  <c r="E33" i="82"/>
  <c r="K32"/>
  <c r="I32"/>
  <c r="G32"/>
  <c r="E32"/>
  <c r="K31"/>
  <c r="I31"/>
  <c r="G31"/>
  <c r="E31"/>
  <c r="K30"/>
  <c r="I30"/>
  <c r="G30"/>
  <c r="E30"/>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D123"/>
  <c r="H33" i="78"/>
  <c r="C123" i="90" s="1"/>
  <c r="D121"/>
  <c r="C121"/>
  <c r="H31" i="78"/>
  <c r="I30"/>
  <c r="H30"/>
  <c r="D120" i="90"/>
  <c r="I29" i="78"/>
  <c r="H29"/>
  <c r="C120" i="90" s="1"/>
  <c r="D119"/>
  <c r="I28" i="78"/>
  <c r="H28"/>
  <c r="C119" i="90" s="1"/>
  <c r="D118"/>
  <c r="I27" i="78"/>
  <c r="H27"/>
  <c r="C118" i="90" s="1"/>
  <c r="D117"/>
  <c r="C117"/>
  <c r="D116"/>
  <c r="C116"/>
  <c r="M98" i="77"/>
  <c r="G98"/>
  <c r="H98" s="1"/>
  <c r="Q97"/>
  <c r="M97"/>
  <c r="K97"/>
  <c r="C183" i="90" s="1"/>
  <c r="G97" i="77"/>
  <c r="M96"/>
  <c r="I14" i="82" s="1"/>
  <c r="G96" i="77"/>
  <c r="Q95"/>
  <c r="M95"/>
  <c r="K95"/>
  <c r="C181" i="90" s="1"/>
  <c r="G95" i="77"/>
  <c r="M94"/>
  <c r="G94"/>
  <c r="H94" s="1"/>
  <c r="Q93"/>
  <c r="M93"/>
  <c r="K93"/>
  <c r="C179" i="90" s="1"/>
  <c r="G93" i="77"/>
  <c r="M92"/>
  <c r="I10" i="82" s="1"/>
  <c r="G92" i="77"/>
  <c r="M91"/>
  <c r="G91"/>
  <c r="H91" s="1"/>
  <c r="M90"/>
  <c r="I8" i="82" s="1"/>
  <c r="G90" i="77"/>
  <c r="H90" s="1"/>
  <c r="M89"/>
  <c r="I7" i="82" s="1"/>
  <c r="G89" i="77"/>
  <c r="H89" s="1"/>
  <c r="M72"/>
  <c r="M71"/>
  <c r="N66"/>
  <c r="H66"/>
  <c r="H16" i="78" s="1"/>
  <c r="N65" i="77"/>
  <c r="H65"/>
  <c r="N64"/>
  <c r="H64"/>
  <c r="S63"/>
  <c r="T63" s="1"/>
  <c r="M63"/>
  <c r="N63" s="1"/>
  <c r="G63"/>
  <c r="H63" s="1"/>
  <c r="S62"/>
  <c r="T62" s="1"/>
  <c r="M62"/>
  <c r="N62" s="1"/>
  <c r="G62"/>
  <c r="H62" s="1"/>
  <c r="S61"/>
  <c r="T61" s="1"/>
  <c r="M61"/>
  <c r="N61" s="1"/>
  <c r="G61"/>
  <c r="H61" s="1"/>
  <c r="S60"/>
  <c r="T60" s="1"/>
  <c r="M60"/>
  <c r="N60" s="1"/>
  <c r="G60"/>
  <c r="I60" s="1"/>
  <c r="K60" s="1"/>
  <c r="J10" i="78" s="1"/>
  <c r="C130" i="90" s="1"/>
  <c r="S59" i="77"/>
  <c r="T59" s="1"/>
  <c r="M59"/>
  <c r="N59" s="1"/>
  <c r="G59"/>
  <c r="S58"/>
  <c r="T58" s="1"/>
  <c r="M58"/>
  <c r="N58" s="1"/>
  <c r="G58"/>
  <c r="S57"/>
  <c r="T57" s="1"/>
  <c r="M57"/>
  <c r="G5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L43" s="1"/>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E29"/>
  <c r="Y29"/>
  <c r="Z29" s="1"/>
  <c r="S29"/>
  <c r="M29"/>
  <c r="N29" s="1"/>
  <c r="G29"/>
  <c r="H29" s="1"/>
  <c r="E11" i="80" s="1"/>
  <c r="D41" i="90" s="1"/>
  <c r="AK28" i="77"/>
  <c r="AE28"/>
  <c r="Y28"/>
  <c r="S28"/>
  <c r="M28"/>
  <c r="G28"/>
  <c r="AK27"/>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S29" i="54" s="1"/>
  <c r="AD66" i="24"/>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75" i="60"/>
  <c r="AA76"/>
  <c r="AA77"/>
  <c r="AA78"/>
  <c r="AA73" i="122" s="1"/>
  <c r="AA80" i="60"/>
  <c r="AA81"/>
  <c r="S75"/>
  <c r="S70" i="122" s="1"/>
  <c r="S76" i="60"/>
  <c r="S71" i="122" s="1"/>
  <c r="S77" i="60"/>
  <c r="S72" i="122" s="1"/>
  <c r="S78" i="60"/>
  <c r="S73" i="122" s="1"/>
  <c r="S80" i="60"/>
  <c r="S81"/>
  <c r="K75"/>
  <c r="K76"/>
  <c r="K77"/>
  <c r="K78"/>
  <c r="K73" i="122" s="1"/>
  <c r="K80" i="60"/>
  <c r="K81"/>
  <c r="AA74"/>
  <c r="S74"/>
  <c r="S69" i="122" s="1"/>
  <c r="K74" i="60"/>
  <c r="AA30"/>
  <c r="AA31"/>
  <c r="AA32"/>
  <c r="AA33"/>
  <c r="AA31" i="122" s="1"/>
  <c r="AA35" i="60"/>
  <c r="AA36"/>
  <c r="S30"/>
  <c r="S28" i="122" s="1"/>
  <c r="S31" i="60"/>
  <c r="S29" i="122" s="1"/>
  <c r="S32" i="60"/>
  <c r="S30" i="122" s="1"/>
  <c r="S33" i="60"/>
  <c r="S31" i="122" s="1"/>
  <c r="S35" i="60"/>
  <c r="S36"/>
  <c r="K30"/>
  <c r="K31"/>
  <c r="K32"/>
  <c r="K31" i="120"/>
  <c r="K35" i="60"/>
  <c r="K36"/>
  <c r="AA29"/>
  <c r="S29"/>
  <c r="S27" i="122" s="1"/>
  <c r="AA65" i="58"/>
  <c r="AA66"/>
  <c r="AA67"/>
  <c r="AA68"/>
  <c r="AA70"/>
  <c r="AA71"/>
  <c r="S65"/>
  <c r="S66"/>
  <c r="S67"/>
  <c r="S68"/>
  <c r="S70"/>
  <c r="S71"/>
  <c r="K65"/>
  <c r="K66"/>
  <c r="K67"/>
  <c r="K68"/>
  <c r="K70"/>
  <c r="K71"/>
  <c r="AA27"/>
  <c r="AA28"/>
  <c r="AA29"/>
  <c r="AA30"/>
  <c r="AA32"/>
  <c r="S27"/>
  <c r="S28"/>
  <c r="S29"/>
  <c r="S30"/>
  <c r="S32"/>
  <c r="S33"/>
  <c r="K27"/>
  <c r="K28"/>
  <c r="K29"/>
  <c r="K30"/>
  <c r="AA26"/>
  <c r="AA69" i="46"/>
  <c r="AA70"/>
  <c r="AA71"/>
  <c r="AA72"/>
  <c r="AA74"/>
  <c r="AA75"/>
  <c r="S69"/>
  <c r="S70"/>
  <c r="S71"/>
  <c r="S72"/>
  <c r="S73"/>
  <c r="S74"/>
  <c r="S75"/>
  <c r="K69"/>
  <c r="K70"/>
  <c r="K71"/>
  <c r="K72"/>
  <c r="K73"/>
  <c r="K74"/>
  <c r="K75"/>
  <c r="AA68"/>
  <c r="S68"/>
  <c r="K68"/>
  <c r="AA29"/>
  <c r="AA30"/>
  <c r="AA31"/>
  <c r="AA32"/>
  <c r="AA33"/>
  <c r="AA34"/>
  <c r="AA35"/>
  <c r="AA28"/>
  <c r="S29"/>
  <c r="S30"/>
  <c r="S31"/>
  <c r="S32"/>
  <c r="S33"/>
  <c r="S34"/>
  <c r="S35"/>
  <c r="S28"/>
  <c r="K29"/>
  <c r="K30"/>
  <c r="K31"/>
  <c r="K32"/>
  <c r="K33"/>
  <c r="K34"/>
  <c r="K28"/>
  <c r="I106" i="24"/>
  <c r="L106"/>
  <c r="P106"/>
  <c r="I21" i="92" s="1"/>
  <c r="V21" s="1"/>
  <c r="AH21" s="1"/>
  <c r="S106" i="24"/>
  <c r="W106"/>
  <c r="Z106"/>
  <c r="AD106"/>
  <c r="I30" i="115" s="1"/>
  <c r="AG106" i="24"/>
  <c r="K30" i="115" s="1"/>
  <c r="AK106" i="24"/>
  <c r="AN106"/>
  <c r="O30" i="115" s="1"/>
  <c r="AR106" i="24"/>
  <c r="Q30" i="115" s="1"/>
  <c r="AU106" i="24"/>
  <c r="S30" i="115" s="1"/>
  <c r="L107" i="24"/>
  <c r="P107"/>
  <c r="I22" i="92" s="1"/>
  <c r="V22" s="1"/>
  <c r="AH22" s="1"/>
  <c r="S107" i="24"/>
  <c r="W107"/>
  <c r="Z107"/>
  <c r="AD107"/>
  <c r="I31" i="115" s="1"/>
  <c r="AG107" i="24"/>
  <c r="K31" i="115" s="1"/>
  <c r="AK107" i="24"/>
  <c r="AN107"/>
  <c r="O31" i="115" s="1"/>
  <c r="AR107" i="24"/>
  <c r="Q31" i="115" s="1"/>
  <c r="AU107" i="24"/>
  <c r="S31" i="115" s="1"/>
  <c r="L108" i="24"/>
  <c r="P108"/>
  <c r="I23" i="92" s="1"/>
  <c r="V23" s="1"/>
  <c r="AH23" s="1"/>
  <c r="S108" i="24"/>
  <c r="W108"/>
  <c r="Z108"/>
  <c r="AD108"/>
  <c r="I32" i="115" s="1"/>
  <c r="AG108" i="24"/>
  <c r="K32" i="115" s="1"/>
  <c r="AK108" i="24"/>
  <c r="AN108"/>
  <c r="O32" i="115" s="1"/>
  <c r="AR108" i="24"/>
  <c r="Q32" i="115" s="1"/>
  <c r="AU108" i="24"/>
  <c r="S32" i="115" s="1"/>
  <c r="G24" i="92"/>
  <c r="T24" s="1"/>
  <c r="AF24" s="1"/>
  <c r="L109" i="24"/>
  <c r="I24" i="92"/>
  <c r="V24" s="1"/>
  <c r="AH24" s="1"/>
  <c r="S109" i="24"/>
  <c r="W109"/>
  <c r="K24" i="92" s="1"/>
  <c r="X24" s="1"/>
  <c r="AJ24" s="1"/>
  <c r="Z109" i="24"/>
  <c r="AD109"/>
  <c r="AG109"/>
  <c r="K33" i="115" s="1"/>
  <c r="AK109" i="24"/>
  <c r="AN109"/>
  <c r="O33" i="115" s="1"/>
  <c r="AR109" i="24"/>
  <c r="AU109"/>
  <c r="S33" i="115" s="1"/>
  <c r="G25" i="92"/>
  <c r="T25" s="1"/>
  <c r="AF25" s="1"/>
  <c r="L110" i="24"/>
  <c r="P110"/>
  <c r="S110"/>
  <c r="W110"/>
  <c r="Y34" i="60" s="1"/>
  <c r="Z110" i="24"/>
  <c r="AD110"/>
  <c r="I79" i="60" s="1"/>
  <c r="AG110" i="24"/>
  <c r="K34" i="115" s="1"/>
  <c r="AK110" i="24"/>
  <c r="Q79" i="60" s="1"/>
  <c r="AN110" i="24"/>
  <c r="O34" i="115" s="1"/>
  <c r="AU110" i="24"/>
  <c r="S34" i="115" s="1"/>
  <c r="I111" i="24"/>
  <c r="L111"/>
  <c r="P111"/>
  <c r="I26" i="92" s="1"/>
  <c r="V26" s="1"/>
  <c r="AH26" s="1"/>
  <c r="S111" i="24"/>
  <c r="W111"/>
  <c r="Z111"/>
  <c r="AD111"/>
  <c r="AG111"/>
  <c r="K35" i="115" s="1"/>
  <c r="AK111" i="24"/>
  <c r="AN111"/>
  <c r="O35" i="115" s="1"/>
  <c r="AR111" i="24"/>
  <c r="Q35" i="115" s="1"/>
  <c r="AU111" i="24"/>
  <c r="S35" i="115" s="1"/>
  <c r="L112" i="24"/>
  <c r="S112"/>
  <c r="Z112"/>
  <c r="M27" i="92" s="1"/>
  <c r="Z27" s="1"/>
  <c r="AL27" s="1"/>
  <c r="AG112" i="24"/>
  <c r="AN112"/>
  <c r="L117"/>
  <c r="L132" s="1"/>
  <c r="W117"/>
  <c r="W132" s="1"/>
  <c r="Z117"/>
  <c r="Z132" s="1"/>
  <c r="AD117"/>
  <c r="AD132" s="1"/>
  <c r="AG117"/>
  <c r="AG132" s="1"/>
  <c r="AR117"/>
  <c r="AR132" s="1"/>
  <c r="AU117"/>
  <c r="AU132" s="1"/>
  <c r="I118"/>
  <c r="I133" s="1"/>
  <c r="L118"/>
  <c r="L133" s="1"/>
  <c r="W118"/>
  <c r="W133" s="1"/>
  <c r="Z118"/>
  <c r="Z133" s="1"/>
  <c r="AD118"/>
  <c r="AD133" s="1"/>
  <c r="AG118"/>
  <c r="AG133" s="1"/>
  <c r="AR118"/>
  <c r="AR133" s="1"/>
  <c r="AU118"/>
  <c r="AU133" s="1"/>
  <c r="L105"/>
  <c r="P105"/>
  <c r="I20" i="92" s="1"/>
  <c r="V20" s="1"/>
  <c r="AH20" s="1"/>
  <c r="S105" i="24"/>
  <c r="W105"/>
  <c r="Z105"/>
  <c r="AD105"/>
  <c r="I29" i="115" s="1"/>
  <c r="AG105" i="24"/>
  <c r="K29" i="115" s="1"/>
  <c r="AK105" i="24"/>
  <c r="AN105"/>
  <c r="O29" i="115" s="1"/>
  <c r="AR105" i="24"/>
  <c r="Q29" i="115" s="1"/>
  <c r="AU105" i="24"/>
  <c r="S29" i="115" s="1"/>
  <c r="I64" i="24"/>
  <c r="I65"/>
  <c r="G14" i="92" s="1"/>
  <c r="T14" s="1"/>
  <c r="AF14" s="1"/>
  <c r="I66" i="24"/>
  <c r="G15" i="92" s="1"/>
  <c r="T15" s="1"/>
  <c r="AF15" s="1"/>
  <c r="I67" i="24"/>
  <c r="G16" i="92" s="1"/>
  <c r="T16" s="1"/>
  <c r="AF16" s="1"/>
  <c r="G17"/>
  <c r="T17" s="1"/>
  <c r="AF17" s="1"/>
  <c r="I69" i="24"/>
  <c r="I63"/>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AO27" i="88" l="1"/>
  <c r="H15" i="78"/>
  <c r="C109" i="90" s="1"/>
  <c r="AI65" i="77"/>
  <c r="H14" i="78"/>
  <c r="C108" i="90" s="1"/>
  <c r="AI64" i="77"/>
  <c r="I63"/>
  <c r="K63" s="1"/>
  <c r="J13" i="78" s="1"/>
  <c r="C133" i="90" s="1"/>
  <c r="AI63" i="77"/>
  <c r="Z14" i="24"/>
  <c r="Z15" s="1"/>
  <c r="I62" i="77"/>
  <c r="K62" s="1"/>
  <c r="J12" i="78" s="1"/>
  <c r="C132" i="90" s="1"/>
  <c r="AI62" i="77"/>
  <c r="I61"/>
  <c r="K61" s="1"/>
  <c r="J11" i="78" s="1"/>
  <c r="C131" i="90" s="1"/>
  <c r="AI61" i="77"/>
  <c r="AX11" i="10"/>
  <c r="S34" i="122"/>
  <c r="S75"/>
  <c r="S33"/>
  <c r="S76"/>
  <c r="K32" i="121"/>
  <c r="K34" i="122"/>
  <c r="K27" i="121"/>
  <c r="K29" i="122"/>
  <c r="AA32" i="121"/>
  <c r="AA34" i="122"/>
  <c r="AA27" i="121"/>
  <c r="AA29" i="122"/>
  <c r="K60" i="121"/>
  <c r="K69" i="122"/>
  <c r="AA60" i="121"/>
  <c r="AA69" i="122"/>
  <c r="K66" i="121"/>
  <c r="K75" i="122"/>
  <c r="K63" i="121"/>
  <c r="K72" i="122"/>
  <c r="K61" i="121"/>
  <c r="K70" i="122"/>
  <c r="AA66" i="121"/>
  <c r="AA75" i="122"/>
  <c r="AA63" i="121"/>
  <c r="AA72" i="122"/>
  <c r="AA61" i="121"/>
  <c r="AA70" i="122"/>
  <c r="AA25" i="121"/>
  <c r="AA27" i="122"/>
  <c r="K31" i="121"/>
  <c r="K33" i="122"/>
  <c r="K28" i="121"/>
  <c r="K30" i="122"/>
  <c r="K26" i="121"/>
  <c r="K28" i="122"/>
  <c r="AA31" i="121"/>
  <c r="AA33" i="122"/>
  <c r="AA28" i="121"/>
  <c r="AA30" i="122"/>
  <c r="AA26" i="121"/>
  <c r="AA28" i="122"/>
  <c r="K67" i="121"/>
  <c r="K76" i="122"/>
  <c r="K62" i="121"/>
  <c r="K71" i="122"/>
  <c r="AA67" i="121"/>
  <c r="AA76" i="122"/>
  <c r="AA62" i="121"/>
  <c r="AA71" i="122"/>
  <c r="H193" i="62"/>
  <c r="Q74" i="122"/>
  <c r="G193" i="62"/>
  <c r="I74" i="122"/>
  <c r="F193" i="62"/>
  <c r="Y32" i="122"/>
  <c r="E193" i="62"/>
  <c r="Q32" i="122"/>
  <c r="U58" i="77"/>
  <c r="W58" s="1"/>
  <c r="AE8" i="78" s="1"/>
  <c r="AC8"/>
  <c r="U60" i="77"/>
  <c r="W60" s="1"/>
  <c r="AE10" i="78" s="1"/>
  <c r="AC10"/>
  <c r="U62" i="77"/>
  <c r="W62" s="1"/>
  <c r="AE12" i="78" s="1"/>
  <c r="AC12"/>
  <c r="U57" i="77"/>
  <c r="W57" s="1"/>
  <c r="AE7" i="78" s="1"/>
  <c r="AC7"/>
  <c r="U59" i="77"/>
  <c r="W59" s="1"/>
  <c r="AE9" i="78" s="1"/>
  <c r="AC9"/>
  <c r="U61" i="77"/>
  <c r="W61" s="1"/>
  <c r="AE11" i="78" s="1"/>
  <c r="AC11"/>
  <c r="U63" i="77"/>
  <c r="W63" s="1"/>
  <c r="AE13" i="78" s="1"/>
  <c r="AC13"/>
  <c r="R74" i="74"/>
  <c r="T58" i="88"/>
  <c r="Y8" i="83" s="1"/>
  <c r="R75" i="74"/>
  <c r="T59" i="88"/>
  <c r="Y9" i="83" s="1"/>
  <c r="R77" i="74"/>
  <c r="T61" i="88"/>
  <c r="Y11" i="83" s="1"/>
  <c r="R73" i="74"/>
  <c r="T57" i="88"/>
  <c r="Y7" i="83" s="1"/>
  <c r="R76" i="74"/>
  <c r="T60" i="88"/>
  <c r="R78" i="74"/>
  <c r="T62" i="88"/>
  <c r="Y12" i="83" s="1"/>
  <c r="N15" i="88"/>
  <c r="O55" i="74"/>
  <c r="Z15" i="88"/>
  <c r="U55" i="74"/>
  <c r="Z25" i="88"/>
  <c r="U56" i="74"/>
  <c r="Z26" i="88"/>
  <c r="AA26" s="1"/>
  <c r="U57" i="74"/>
  <c r="Z27" i="88"/>
  <c r="U58" i="74"/>
  <c r="Z29" i="88"/>
  <c r="U60" i="74"/>
  <c r="Z30" i="88"/>
  <c r="U61" i="74"/>
  <c r="Z31" i="88"/>
  <c r="U62" i="74"/>
  <c r="N61" i="88"/>
  <c r="L11" i="83" s="1"/>
  <c r="D106" i="91" s="1"/>
  <c r="O77" i="74"/>
  <c r="N89" i="88"/>
  <c r="O86" i="74"/>
  <c r="N90" i="88"/>
  <c r="O87" i="74"/>
  <c r="N91" i="88"/>
  <c r="O88" i="74"/>
  <c r="N92" i="88"/>
  <c r="O89" i="74"/>
  <c r="N94" i="88"/>
  <c r="O91" i="74"/>
  <c r="N96" i="88"/>
  <c r="O93" i="74"/>
  <c r="O46"/>
  <c r="U46"/>
  <c r="X54"/>
  <c r="R54"/>
  <c r="D54"/>
  <c r="X53"/>
  <c r="U53"/>
  <c r="R53"/>
  <c r="O53"/>
  <c r="X51"/>
  <c r="R51"/>
  <c r="X50"/>
  <c r="U50"/>
  <c r="R50"/>
  <c r="O50"/>
  <c r="U48"/>
  <c r="O48"/>
  <c r="U47"/>
  <c r="O47"/>
  <c r="T15" i="88"/>
  <c r="R55" i="74"/>
  <c r="AF15" i="88"/>
  <c r="X55" i="74"/>
  <c r="J41" i="84"/>
  <c r="H17" i="91" s="1"/>
  <c r="D28" i="92"/>
  <c r="O29"/>
  <c r="AB29" s="1"/>
  <c r="AN29" s="1"/>
  <c r="D29"/>
  <c r="J43" i="84"/>
  <c r="H19" i="91" s="1"/>
  <c r="D30" i="92"/>
  <c r="AF25" i="88"/>
  <c r="D56" i="74" s="1"/>
  <c r="X56"/>
  <c r="AF26" i="88"/>
  <c r="D57" i="74" s="1"/>
  <c r="X57"/>
  <c r="N60" i="88"/>
  <c r="O76" i="74"/>
  <c r="N62" i="88"/>
  <c r="O78" i="74"/>
  <c r="N98" i="88"/>
  <c r="O98" s="1"/>
  <c r="O95" i="74"/>
  <c r="R46"/>
  <c r="X46"/>
  <c r="U54"/>
  <c r="O54"/>
  <c r="U51"/>
  <c r="O51"/>
  <c r="D50"/>
  <c r="X48"/>
  <c r="R48"/>
  <c r="X47"/>
  <c r="R47"/>
  <c r="D47"/>
  <c r="AM26" i="88"/>
  <c r="AO26" s="1"/>
  <c r="G18" i="92"/>
  <c r="T18" s="1"/>
  <c r="AF18" s="1"/>
  <c r="I32" i="58"/>
  <c r="I8" i="89"/>
  <c r="K6" i="88"/>
  <c r="U46"/>
  <c r="W46"/>
  <c r="AA30"/>
  <c r="AG46"/>
  <c r="AI46"/>
  <c r="AM46"/>
  <c r="AO46"/>
  <c r="AM30"/>
  <c r="AO30" s="1"/>
  <c r="U42"/>
  <c r="W42"/>
  <c r="AM25"/>
  <c r="O112" i="89"/>
  <c r="AO25" i="88"/>
  <c r="R112" i="89" s="1"/>
  <c r="AM42" i="88"/>
  <c r="AO42"/>
  <c r="X114" i="89" s="1"/>
  <c r="I41" i="88"/>
  <c r="K41"/>
  <c r="L15" i="7"/>
  <c r="I11" i="112"/>
  <c r="W6" i="88"/>
  <c r="AI6"/>
  <c r="Q8"/>
  <c r="AC8"/>
  <c r="H9"/>
  <c r="K8"/>
  <c r="W8"/>
  <c r="AI8"/>
  <c r="Q11"/>
  <c r="Q14"/>
  <c r="W11"/>
  <c r="AI11"/>
  <c r="W14"/>
  <c r="S27" i="120"/>
  <c r="S25" i="121"/>
  <c r="S31" i="120"/>
  <c r="S29"/>
  <c r="S27" i="121"/>
  <c r="AA31" i="120"/>
  <c r="S72"/>
  <c r="S63" i="121"/>
  <c r="S70" i="120"/>
  <c r="S61" i="121"/>
  <c r="S30" i="120"/>
  <c r="S28" i="121"/>
  <c r="S28" i="120"/>
  <c r="S26" i="121"/>
  <c r="S69" i="120"/>
  <c r="S60" i="121"/>
  <c r="K73" i="120"/>
  <c r="S73"/>
  <c r="S71"/>
  <c r="S62" i="121"/>
  <c r="AA73" i="120"/>
  <c r="S34"/>
  <c r="S32" i="121"/>
  <c r="S75" i="120"/>
  <c r="S66" i="121"/>
  <c r="S33" i="120"/>
  <c r="S31" i="121"/>
  <c r="S76" i="120"/>
  <c r="S67" i="121"/>
  <c r="K15" i="7"/>
  <c r="H11" i="112"/>
  <c r="M19" i="7"/>
  <c r="M15"/>
  <c r="O15"/>
  <c r="N19"/>
  <c r="N15"/>
  <c r="O19"/>
  <c r="K10" i="113"/>
  <c r="K11" s="1"/>
  <c r="G44" i="69" s="1"/>
  <c r="O10" i="113"/>
  <c r="H43" i="69" s="1"/>
  <c r="K12" i="118"/>
  <c r="K12" i="117"/>
  <c r="I13" i="118"/>
  <c r="I13" i="117"/>
  <c r="I12" i="118"/>
  <c r="K13"/>
  <c r="K13" i="117"/>
  <c r="K14" i="113"/>
  <c r="G47" i="69" s="1"/>
  <c r="AG15" i="24"/>
  <c r="K12" i="113"/>
  <c r="G45" i="69" s="1"/>
  <c r="AG13" i="24"/>
  <c r="AA34" i="120"/>
  <c r="AA29"/>
  <c r="K69"/>
  <c r="AA69"/>
  <c r="K75"/>
  <c r="K72"/>
  <c r="K70"/>
  <c r="AA75"/>
  <c r="AA72"/>
  <c r="AA70"/>
  <c r="AA27"/>
  <c r="AA33"/>
  <c r="AA30"/>
  <c r="AA28"/>
  <c r="K76"/>
  <c r="K71"/>
  <c r="AA76"/>
  <c r="AA71"/>
  <c r="M10" i="92"/>
  <c r="Z10" s="1"/>
  <c r="AL10" s="1"/>
  <c r="M9"/>
  <c r="Z9" s="1"/>
  <c r="AL9" s="1"/>
  <c r="M8"/>
  <c r="Z8" s="1"/>
  <c r="AL8" s="1"/>
  <c r="M7"/>
  <c r="Z7" s="1"/>
  <c r="AL7" s="1"/>
  <c r="M6"/>
  <c r="Z6" s="1"/>
  <c r="AL6" s="1"/>
  <c r="M5"/>
  <c r="Z5" s="1"/>
  <c r="AL5" s="1"/>
  <c r="O12" i="113"/>
  <c r="O13" s="1"/>
  <c r="H46" i="69" s="1"/>
  <c r="O14" i="113"/>
  <c r="H47" i="69" s="1"/>
  <c r="K35" i="113"/>
  <c r="G32" i="69" s="1"/>
  <c r="O11" i="92"/>
  <c r="AB11" s="1"/>
  <c r="AN11" s="1"/>
  <c r="O36" i="115"/>
  <c r="H140"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6" i="115"/>
  <c r="G140" i="69" s="1"/>
  <c r="O27" i="92"/>
  <c r="AB27" s="1"/>
  <c r="AN27" s="1"/>
  <c r="M18" i="113"/>
  <c r="H17" i="69" s="1"/>
  <c r="I22" i="113"/>
  <c r="G21" i="69" s="1"/>
  <c r="Q22" i="113"/>
  <c r="I21" i="69" s="1"/>
  <c r="AG18" i="24"/>
  <c r="K18" i="113" s="1"/>
  <c r="G51" i="69" s="1"/>
  <c r="I18" i="113"/>
  <c r="G17" i="69" s="1"/>
  <c r="Q18" i="113"/>
  <c r="I17" i="69" s="1"/>
  <c r="M22" i="113"/>
  <c r="H21" i="69" s="1"/>
  <c r="Q13" i="118"/>
  <c r="Q13" i="117"/>
  <c r="Q12" i="118"/>
  <c r="Q12" i="117"/>
  <c r="K25" i="92"/>
  <c r="X25" s="1"/>
  <c r="AJ25" s="1"/>
  <c r="I25"/>
  <c r="V25" s="1"/>
  <c r="AH25" s="1"/>
  <c r="P19"/>
  <c r="AC19" s="1"/>
  <c r="AO19" s="1"/>
  <c r="O33" i="114"/>
  <c r="H86" i="69" s="1"/>
  <c r="P18" i="92"/>
  <c r="AC18" s="1"/>
  <c r="AO18" s="1"/>
  <c r="O32" i="114"/>
  <c r="P16" i="92"/>
  <c r="AC16" s="1"/>
  <c r="AO16" s="1"/>
  <c r="O30" i="114"/>
  <c r="R15" i="92"/>
  <c r="AE15" s="1"/>
  <c r="AQ15" s="1"/>
  <c r="S29" i="114"/>
  <c r="P15" i="92"/>
  <c r="AC15" s="1"/>
  <c r="AO15" s="1"/>
  <c r="O29" i="114"/>
  <c r="P14" i="92"/>
  <c r="AC14" s="1"/>
  <c r="AO14" s="1"/>
  <c r="O28" i="114"/>
  <c r="S13" i="118"/>
  <c r="S13" i="117"/>
  <c r="S12" i="118"/>
  <c r="S12" i="117"/>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F18" i="75"/>
  <c r="F19" s="1"/>
  <c r="E9" i="87"/>
  <c r="K34" i="120"/>
  <c r="I26" i="88"/>
  <c r="K26" s="1"/>
  <c r="H57" i="74" s="1"/>
  <c r="AA57" s="1"/>
  <c r="AM57" s="1"/>
  <c r="I25" i="88"/>
  <c r="O7" i="89"/>
  <c r="K25" i="88"/>
  <c r="K29" i="120"/>
  <c r="K33"/>
  <c r="K30"/>
  <c r="K28"/>
  <c r="K27"/>
  <c r="I139" i="69"/>
  <c r="I136"/>
  <c r="G136"/>
  <c r="I135"/>
  <c r="G135"/>
  <c r="I133"/>
  <c r="G133"/>
  <c r="I134"/>
  <c r="G134"/>
  <c r="O25" i="92"/>
  <c r="AB25" s="1"/>
  <c r="AN25" s="1"/>
  <c r="M34" i="115"/>
  <c r="H138" i="69" s="1"/>
  <c r="M25" i="92"/>
  <c r="Z25" s="1"/>
  <c r="AL25" s="1"/>
  <c r="I34" i="115"/>
  <c r="G138" i="69" s="1"/>
  <c r="Q24" i="92"/>
  <c r="AD24" s="1"/>
  <c r="AP24" s="1"/>
  <c r="Q33" i="115"/>
  <c r="I137" i="69" s="1"/>
  <c r="O24" i="92"/>
  <c r="AB24" s="1"/>
  <c r="AN24" s="1"/>
  <c r="M33" i="115"/>
  <c r="H137" i="69" s="1"/>
  <c r="M24" i="92"/>
  <c r="Z24" s="1"/>
  <c r="AL24" s="1"/>
  <c r="I33" i="115"/>
  <c r="G137" i="69" s="1"/>
  <c r="O23" i="92"/>
  <c r="AB23" s="1"/>
  <c r="AN23" s="1"/>
  <c r="M32" i="115"/>
  <c r="H136" i="69" s="1"/>
  <c r="O22" i="92"/>
  <c r="AB22" s="1"/>
  <c r="AN22" s="1"/>
  <c r="M31" i="115"/>
  <c r="H135" i="69" s="1"/>
  <c r="O26" i="92"/>
  <c r="AB26" s="1"/>
  <c r="AN26" s="1"/>
  <c r="M35" i="115"/>
  <c r="H139" i="69" s="1"/>
  <c r="I35" i="115"/>
  <c r="I80" i="60"/>
  <c r="O20" i="92"/>
  <c r="AB20" s="1"/>
  <c r="AN20" s="1"/>
  <c r="M29" i="115"/>
  <c r="H133" i="69" s="1"/>
  <c r="O21" i="92"/>
  <c r="AB21" s="1"/>
  <c r="AN21" s="1"/>
  <c r="M30" i="115"/>
  <c r="H134"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K25" s="1"/>
  <c r="G7" i="80" s="1"/>
  <c r="D51" i="90" s="1"/>
  <c r="T25" i="77"/>
  <c r="U25" s="1"/>
  <c r="W25" s="1"/>
  <c r="O7" i="80" s="1"/>
  <c r="F51" i="90" s="1"/>
  <c r="AG25" i="77"/>
  <c r="AI25" s="1"/>
  <c r="E8" i="80"/>
  <c r="D38" i="90" s="1"/>
  <c r="I26" i="77"/>
  <c r="K26" s="1"/>
  <c r="G8" i="80" s="1"/>
  <c r="D52" i="90" s="1"/>
  <c r="U26" i="77"/>
  <c r="W26" s="1"/>
  <c r="AG26"/>
  <c r="AI26" s="1"/>
  <c r="K25" i="80" s="1"/>
  <c r="H52" i="90" s="1"/>
  <c r="I27" i="77"/>
  <c r="K27" s="1"/>
  <c r="G9" i="80" s="1"/>
  <c r="D53" i="90" s="1"/>
  <c r="T27" i="77"/>
  <c r="AG28"/>
  <c r="AI28" s="1"/>
  <c r="AG27"/>
  <c r="AI27" s="1"/>
  <c r="T29"/>
  <c r="M11" i="80" s="1"/>
  <c r="F41" i="90" s="1"/>
  <c r="AF29" i="77"/>
  <c r="I28" i="80" s="1"/>
  <c r="H41" i="90" s="1"/>
  <c r="E12" i="80"/>
  <c r="D42" i="90" s="1"/>
  <c r="I30" i="77"/>
  <c r="K30" s="1"/>
  <c r="G12" i="80" s="1"/>
  <c r="D56" i="90" s="1"/>
  <c r="T30" i="77"/>
  <c r="U30" s="1"/>
  <c r="W30" s="1"/>
  <c r="AF30"/>
  <c r="AG30" s="1"/>
  <c r="AI30" s="1"/>
  <c r="K29" i="80" s="1"/>
  <c r="H56" i="90" s="1"/>
  <c r="T31" i="77"/>
  <c r="M13" i="80" s="1"/>
  <c r="F43" i="90" s="1"/>
  <c r="AF31" i="77"/>
  <c r="I30" i="80" s="1"/>
  <c r="H43" i="90" s="1"/>
  <c r="H42" i="77"/>
  <c r="I42" s="1"/>
  <c r="K42" s="1"/>
  <c r="H8" i="81" s="1"/>
  <c r="D81" i="90" s="1"/>
  <c r="T42" i="77"/>
  <c r="U42" s="1"/>
  <c r="W42" s="1"/>
  <c r="AF42"/>
  <c r="AG42" s="1"/>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D128" i="90" s="1"/>
  <c r="D108"/>
  <c r="AX13" i="10"/>
  <c r="N25" i="88"/>
  <c r="N26"/>
  <c r="N27"/>
  <c r="AL28"/>
  <c r="AM27"/>
  <c r="N29"/>
  <c r="N30"/>
  <c r="N31"/>
  <c r="N42"/>
  <c r="Z42"/>
  <c r="N43"/>
  <c r="Q43" s="1"/>
  <c r="Z44"/>
  <c r="AA43"/>
  <c r="AL44"/>
  <c r="AM43"/>
  <c r="N45"/>
  <c r="Z45"/>
  <c r="H71" i="74"/>
  <c r="AA71" s="1"/>
  <c r="AM71" s="1"/>
  <c r="H46" i="88"/>
  <c r="H47"/>
  <c r="F16" i="86" s="1"/>
  <c r="D71" i="91" s="1"/>
  <c r="T47" i="88"/>
  <c r="N25" i="77"/>
  <c r="O25" s="1"/>
  <c r="Q25" s="1"/>
  <c r="Z25"/>
  <c r="AA25" s="1"/>
  <c r="AC25" s="1"/>
  <c r="G24" i="80" s="1"/>
  <c r="G51" i="90" s="1"/>
  <c r="AM25" i="77"/>
  <c r="AO25" s="1"/>
  <c r="O24" i="80" s="1"/>
  <c r="I51" i="90" s="1"/>
  <c r="N26" i="77"/>
  <c r="O26" s="1"/>
  <c r="Q26" s="1"/>
  <c r="Z26"/>
  <c r="AA26" s="1"/>
  <c r="AC26" s="1"/>
  <c r="G25" i="80" s="1"/>
  <c r="G52" i="90" s="1"/>
  <c r="AM26" i="77"/>
  <c r="AO26" s="1"/>
  <c r="O25" i="80" s="1"/>
  <c r="I52" i="90" s="1"/>
  <c r="O28" i="77"/>
  <c r="Q28" s="1"/>
  <c r="O27"/>
  <c r="Q27" s="1"/>
  <c r="AA28"/>
  <c r="AC28" s="1"/>
  <c r="AA27"/>
  <c r="AC27" s="1"/>
  <c r="AM28"/>
  <c r="AO28" s="1"/>
  <c r="AM27"/>
  <c r="AO27" s="1"/>
  <c r="N30"/>
  <c r="O30" s="1"/>
  <c r="Q30" s="1"/>
  <c r="K12" i="80" s="1"/>
  <c r="E56" i="90" s="1"/>
  <c r="Z30" i="77"/>
  <c r="AA30" s="1"/>
  <c r="AC30" s="1"/>
  <c r="G29" i="80" s="1"/>
  <c r="G56" i="90" s="1"/>
  <c r="AM30" i="77"/>
  <c r="AO30" s="1"/>
  <c r="O29" i="80" s="1"/>
  <c r="I56" i="90" s="1"/>
  <c r="N31" i="77"/>
  <c r="I13" i="80" s="1"/>
  <c r="E43" i="90" s="1"/>
  <c r="Z31" i="77"/>
  <c r="E30" i="80" s="1"/>
  <c r="G43" i="90" s="1"/>
  <c r="M30" i="80"/>
  <c r="I43" i="90" s="1"/>
  <c r="N42" i="77"/>
  <c r="O42" s="1"/>
  <c r="Q42" s="1"/>
  <c r="L8" i="81" s="1"/>
  <c r="E81" i="90" s="1"/>
  <c r="Z42" i="77"/>
  <c r="AA42" s="1"/>
  <c r="AC42" s="1"/>
  <c r="H29" i="81" s="1"/>
  <c r="G81" i="90" s="1"/>
  <c r="AL42" i="77"/>
  <c r="AM42" s="1"/>
  <c r="AO42" s="1"/>
  <c r="P29" i="81" s="1"/>
  <c r="I81" i="90" s="1"/>
  <c r="N44" i="77"/>
  <c r="O44" s="1"/>
  <c r="Q44" s="1"/>
  <c r="O43"/>
  <c r="Q43" s="1"/>
  <c r="Z44"/>
  <c r="AA44" s="1"/>
  <c r="AC44" s="1"/>
  <c r="H31" i="81" s="1"/>
  <c r="G83" i="90" s="1"/>
  <c r="AA43" i="77"/>
  <c r="AC43" s="1"/>
  <c r="H30" i="81" s="1"/>
  <c r="G82" i="90" s="1"/>
  <c r="AL44" i="77"/>
  <c r="AM44" s="1"/>
  <c r="AO44" s="1"/>
  <c r="P31" i="81" s="1"/>
  <c r="I83" i="90" s="1"/>
  <c r="AM43" i="77"/>
  <c r="AO43" s="1"/>
  <c r="N45"/>
  <c r="J11" i="81" s="1"/>
  <c r="E66" i="90" s="1"/>
  <c r="Z45" i="77"/>
  <c r="F32" i="81" s="1"/>
  <c r="G66" i="90" s="1"/>
  <c r="AL45" i="77"/>
  <c r="N32" i="81" s="1"/>
  <c r="I66" i="90" s="1"/>
  <c r="N46" i="77"/>
  <c r="O46" s="1"/>
  <c r="Q46" s="1"/>
  <c r="L15" i="81" s="1"/>
  <c r="E88" i="90" s="1"/>
  <c r="Z46" i="77"/>
  <c r="AA46" s="1"/>
  <c r="AC46" s="1"/>
  <c r="AL46"/>
  <c r="AM46" s="1"/>
  <c r="AO46" s="1"/>
  <c r="P36" i="81" s="1"/>
  <c r="I88" i="90" s="1"/>
  <c r="N47" i="77"/>
  <c r="J16" i="81" s="1"/>
  <c r="E71" i="90" s="1"/>
  <c r="Z47" i="77"/>
  <c r="F37" i="81" s="1"/>
  <c r="G71" i="90" s="1"/>
  <c r="AL47" i="77"/>
  <c r="N37" i="81" s="1"/>
  <c r="I71" i="90" s="1"/>
  <c r="O57" i="77"/>
  <c r="Q57" s="1"/>
  <c r="D127" i="90" s="1"/>
  <c r="O63" i="77"/>
  <c r="Q63" s="1"/>
  <c r="D133" i="90" s="1"/>
  <c r="AX12" i="10"/>
  <c r="D109" i="90"/>
  <c r="AX14" i="10"/>
  <c r="T25" i="88"/>
  <c r="O49" i="89" s="1"/>
  <c r="T26" i="88"/>
  <c r="O50" i="89" s="1"/>
  <c r="I27" i="88"/>
  <c r="K27" s="1"/>
  <c r="H28"/>
  <c r="T27"/>
  <c r="AF27"/>
  <c r="T29"/>
  <c r="AF29"/>
  <c r="H30"/>
  <c r="G61" i="74" s="1"/>
  <c r="Z61" s="1"/>
  <c r="AL61" s="1"/>
  <c r="T30" i="88"/>
  <c r="M12" i="85" s="1"/>
  <c r="F42" i="91" s="1"/>
  <c r="AF30" i="88"/>
  <c r="D61" i="74" s="1"/>
  <c r="H31" i="88"/>
  <c r="T31"/>
  <c r="AF31"/>
  <c r="H42"/>
  <c r="AF42"/>
  <c r="H43"/>
  <c r="T44"/>
  <c r="U43"/>
  <c r="AF43"/>
  <c r="AI43" s="1"/>
  <c r="H45"/>
  <c r="AF45"/>
  <c r="N46"/>
  <c r="Z46"/>
  <c r="N47"/>
  <c r="P72" i="74"/>
  <c r="AF72" s="1"/>
  <c r="AR72" s="1"/>
  <c r="Z47" i="88"/>
  <c r="U80" i="89" s="1"/>
  <c r="O61" i="77"/>
  <c r="Q61" s="1"/>
  <c r="D131" i="90" s="1"/>
  <c r="AX10" i="10"/>
  <c r="O59" i="77"/>
  <c r="Q59" s="1"/>
  <c r="D129" i="90" s="1"/>
  <c r="O60" i="77"/>
  <c r="Q60" s="1"/>
  <c r="D130" i="90" s="1"/>
  <c r="AX9" i="10"/>
  <c r="K30" i="54"/>
  <c r="L15" i="75"/>
  <c r="H67" i="88" s="1"/>
  <c r="O91" i="89"/>
  <c r="O92"/>
  <c r="G13" i="92"/>
  <c r="T13" s="1"/>
  <c r="AF13" s="1"/>
  <c r="I27" i="58"/>
  <c r="P22" i="24"/>
  <c r="K19" i="7" s="1"/>
  <c r="J38" i="86"/>
  <c r="H71" i="91" s="1"/>
  <c r="H16" i="83"/>
  <c r="I29"/>
  <c r="S71" i="74"/>
  <c r="AH71" s="1"/>
  <c r="AT71" s="1"/>
  <c r="J37" i="84"/>
  <c r="H13" i="91" s="1"/>
  <c r="W10" i="74"/>
  <c r="AK10" s="1"/>
  <c r="AW10" s="1"/>
  <c r="I114" i="89"/>
  <c r="I121"/>
  <c r="V56" i="74"/>
  <c r="AJ56" s="1"/>
  <c r="AV56" s="1"/>
  <c r="V65"/>
  <c r="AJ65" s="1"/>
  <c r="AV65" s="1"/>
  <c r="I18" i="87"/>
  <c r="I20"/>
  <c r="I115" i="89"/>
  <c r="J72" i="74"/>
  <c r="AB72" s="1"/>
  <c r="AN72" s="1"/>
  <c r="V72"/>
  <c r="AJ72" s="1"/>
  <c r="AV72" s="1"/>
  <c r="V58"/>
  <c r="AJ58" s="1"/>
  <c r="AV58" s="1"/>
  <c r="V60"/>
  <c r="AJ60" s="1"/>
  <c r="AV60" s="1"/>
  <c r="V62"/>
  <c r="AJ62" s="1"/>
  <c r="AV62" s="1"/>
  <c r="N33" i="86"/>
  <c r="I66" i="91" s="1"/>
  <c r="V55" i="74"/>
  <c r="AJ55" s="1"/>
  <c r="AV55" s="1"/>
  <c r="N71"/>
  <c r="AE71" s="1"/>
  <c r="AQ71" s="1"/>
  <c r="Q14"/>
  <c r="AG14" s="1"/>
  <c r="AS14" s="1"/>
  <c r="J65"/>
  <c r="AB65" s="1"/>
  <c r="AN65" s="1"/>
  <c r="N10"/>
  <c r="AE10" s="1"/>
  <c r="AQ10" s="1"/>
  <c r="S67"/>
  <c r="AH67" s="1"/>
  <c r="AT67" s="1"/>
  <c r="N14"/>
  <c r="AE14" s="1"/>
  <c r="AQ14" s="1"/>
  <c r="T14"/>
  <c r="AI14" s="1"/>
  <c r="AU14" s="1"/>
  <c r="P65"/>
  <c r="AF65" s="1"/>
  <c r="AR65" s="1"/>
  <c r="I11" i="88"/>
  <c r="H51" i="74" s="1"/>
  <c r="AA51" s="1"/>
  <c r="AM51" s="1"/>
  <c r="AG11" i="88"/>
  <c r="T51" i="74" s="1"/>
  <c r="AI51" s="1"/>
  <c r="AU51" s="1"/>
  <c r="G53"/>
  <c r="Z53" s="1"/>
  <c r="AL53" s="1"/>
  <c r="I99" i="89"/>
  <c r="I58"/>
  <c r="G55" i="74"/>
  <c r="Z55" s="1"/>
  <c r="AL55" s="1"/>
  <c r="J87"/>
  <c r="AB87" s="1"/>
  <c r="AN87" s="1"/>
  <c r="J91"/>
  <c r="AB91" s="1"/>
  <c r="AN91" s="1"/>
  <c r="I71" i="89"/>
  <c r="J98" i="74"/>
  <c r="AB98" s="1"/>
  <c r="AN98" s="1"/>
  <c r="N7" i="84"/>
  <c r="F5" i="91" s="1"/>
  <c r="I9" i="89"/>
  <c r="I93"/>
  <c r="I31"/>
  <c r="J50" i="74"/>
  <c r="AB50" s="1"/>
  <c r="AN50" s="1"/>
  <c r="M51"/>
  <c r="AD51" s="1"/>
  <c r="AP51" s="1"/>
  <c r="I16" i="89"/>
  <c r="I100"/>
  <c r="G56" i="74"/>
  <c r="Z56" s="1"/>
  <c r="AL56" s="1"/>
  <c r="G58"/>
  <c r="Z58" s="1"/>
  <c r="AL58" s="1"/>
  <c r="G60"/>
  <c r="Z60" s="1"/>
  <c r="AL60" s="1"/>
  <c r="H7" i="83"/>
  <c r="C102" i="91" s="1"/>
  <c r="G77" i="74"/>
  <c r="Z77" s="1"/>
  <c r="AL77" s="1"/>
  <c r="L12" i="83"/>
  <c r="D107" i="91" s="1"/>
  <c r="G80" i="74"/>
  <c r="Z80" s="1"/>
  <c r="AL80" s="1"/>
  <c r="H15" i="83"/>
  <c r="C110" i="91" s="1"/>
  <c r="N34" i="84"/>
  <c r="I10" i="91" s="1"/>
  <c r="F7" i="84"/>
  <c r="D5" i="91" s="1"/>
  <c r="I92" i="89"/>
  <c r="I51"/>
  <c r="M56" i="74"/>
  <c r="AD56" s="1"/>
  <c r="AP56" s="1"/>
  <c r="E8" i="85"/>
  <c r="D38" i="91" s="1"/>
  <c r="J76" i="74"/>
  <c r="AB76" s="1"/>
  <c r="AN76" s="1"/>
  <c r="J80"/>
  <c r="AB80" s="1"/>
  <c r="AN80" s="1"/>
  <c r="J81"/>
  <c r="AB81" s="1"/>
  <c r="AN81" s="1"/>
  <c r="O7" i="88"/>
  <c r="I52" i="89"/>
  <c r="U10" i="88"/>
  <c r="O14"/>
  <c r="K54" i="74" s="1"/>
  <c r="AC54" s="1"/>
  <c r="AO54" s="1"/>
  <c r="H10" i="83"/>
  <c r="C105" i="91" s="1"/>
  <c r="J79" i="74"/>
  <c r="AB79" s="1"/>
  <c r="AN79" s="1"/>
  <c r="I90" i="88"/>
  <c r="J96" i="74"/>
  <c r="AB96" s="1"/>
  <c r="AN96" s="1"/>
  <c r="J46"/>
  <c r="AB46" s="1"/>
  <c r="AN46" s="1"/>
  <c r="P47"/>
  <c r="AF47" s="1"/>
  <c r="AR47" s="1"/>
  <c r="I10" i="88"/>
  <c r="J12" i="84"/>
  <c r="E10" i="91" s="1"/>
  <c r="I79" i="89"/>
  <c r="P60" i="74"/>
  <c r="AF60" s="1"/>
  <c r="AR60" s="1"/>
  <c r="H8" i="83"/>
  <c r="C103" i="91" s="1"/>
  <c r="H12" i="83"/>
  <c r="C107" i="91" s="1"/>
  <c r="G79" i="74"/>
  <c r="Z79" s="1"/>
  <c r="AL79" s="1"/>
  <c r="I91" i="88"/>
  <c r="J97" i="74"/>
  <c r="AB97" s="1"/>
  <c r="AN97" s="1"/>
  <c r="J99"/>
  <c r="AB99" s="1"/>
  <c r="AN99" s="1"/>
  <c r="E18" i="87"/>
  <c r="L14" i="83"/>
  <c r="D109" i="91" s="1"/>
  <c r="E20" i="87"/>
  <c r="O65" i="88"/>
  <c r="P81" i="74" s="1"/>
  <c r="AF81" s="1"/>
  <c r="AR81" s="1"/>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J8" i="86"/>
  <c r="E63" i="91" s="1"/>
  <c r="U92" i="89"/>
  <c r="G64" i="74"/>
  <c r="Z64" s="1"/>
  <c r="AL64" s="1"/>
  <c r="U8" i="89"/>
  <c r="N14" i="86"/>
  <c r="F69" i="91" s="1"/>
  <c r="H7" i="81"/>
  <c r="D80" i="90" s="1"/>
  <c r="O63" i="88"/>
  <c r="Q63" s="1"/>
  <c r="J74" i="74"/>
  <c r="AB74" s="1"/>
  <c r="AN74" s="1"/>
  <c r="H14" i="83"/>
  <c r="C109" i="91" s="1"/>
  <c r="F34" i="86"/>
  <c r="G67" i="91" s="1"/>
  <c r="J73" i="74"/>
  <c r="AB73" s="1"/>
  <c r="AN73" s="1"/>
  <c r="K75"/>
  <c r="AC75" s="1"/>
  <c r="AO75" s="1"/>
  <c r="L13" i="83"/>
  <c r="D108" i="91" s="1"/>
  <c r="N7" i="86"/>
  <c r="F62" i="91" s="1"/>
  <c r="G74" i="74"/>
  <c r="Z74" s="1"/>
  <c r="AL74" s="1"/>
  <c r="G73"/>
  <c r="Z73" s="1"/>
  <c r="AL73" s="1"/>
  <c r="K26" i="92"/>
  <c r="X26" s="1"/>
  <c r="AJ26" s="1"/>
  <c r="K23"/>
  <c r="X23" s="1"/>
  <c r="AJ23" s="1"/>
  <c r="K22"/>
  <c r="X22" s="1"/>
  <c r="AJ22" s="1"/>
  <c r="K21"/>
  <c r="X21" s="1"/>
  <c r="AJ21" s="1"/>
  <c r="H93" i="77"/>
  <c r="C150" i="90" s="1"/>
  <c r="H97" i="77"/>
  <c r="E15" i="82" s="1"/>
  <c r="Q20" i="92"/>
  <c r="AD20" s="1"/>
  <c r="AP20" s="1"/>
  <c r="Q26"/>
  <c r="AD26" s="1"/>
  <c r="AP26" s="1"/>
  <c r="Q23"/>
  <c r="AD23" s="1"/>
  <c r="AP23" s="1"/>
  <c r="Q22"/>
  <c r="AD22" s="1"/>
  <c r="AP22" s="1"/>
  <c r="Q21"/>
  <c r="AD21" s="1"/>
  <c r="AP21" s="1"/>
  <c r="K20"/>
  <c r="X20" s="1"/>
  <c r="AJ20" s="1"/>
  <c r="AF9" i="77"/>
  <c r="J31" i="79" s="1"/>
  <c r="H8" i="90" s="1"/>
  <c r="L16" i="75"/>
  <c r="AL9" i="77"/>
  <c r="N31" i="79" s="1"/>
  <c r="I8" i="90" s="1"/>
  <c r="J29" i="84"/>
  <c r="H5" i="91" s="1"/>
  <c r="H92" i="77"/>
  <c r="I92" s="1"/>
  <c r="K92" s="1"/>
  <c r="E35" i="85"/>
  <c r="N38" i="86"/>
  <c r="I71" i="91" s="1"/>
  <c r="O3" i="87"/>
  <c r="K25"/>
  <c r="O11" i="88"/>
  <c r="L34" i="89" s="1"/>
  <c r="AG13" i="88"/>
  <c r="F26" i="75"/>
  <c r="L18" s="1"/>
  <c r="N95" i="77"/>
  <c r="D152" i="90" s="1"/>
  <c r="AG6" i="88"/>
  <c r="AG14"/>
  <c r="T54" i="74" s="1"/>
  <c r="AI54" s="1"/>
  <c r="AU54" s="1"/>
  <c r="K68"/>
  <c r="AC68" s="1"/>
  <c r="AO68" s="1"/>
  <c r="Q68"/>
  <c r="AG68" s="1"/>
  <c r="AS68" s="1"/>
  <c r="D160" i="91"/>
  <c r="AM10" i="77"/>
  <c r="H12" i="86"/>
  <c r="D85" i="91" s="1"/>
  <c r="T68" i="74"/>
  <c r="AI68" s="1"/>
  <c r="AU68" s="1"/>
  <c r="S53"/>
  <c r="AH53" s="1"/>
  <c r="AT53" s="1"/>
  <c r="H95" i="77"/>
  <c r="E13" i="82" s="1"/>
  <c r="D102" i="90"/>
  <c r="J11" i="79"/>
  <c r="E9" i="90" s="1"/>
  <c r="N15" i="84"/>
  <c r="F13" i="91" s="1"/>
  <c r="M35" i="85"/>
  <c r="N34" i="86"/>
  <c r="I67" i="91" s="1"/>
  <c r="J7" i="83"/>
  <c r="C128" i="91" s="1"/>
  <c r="N95" i="88"/>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P3" i="81"/>
  <c r="P3" i="84"/>
  <c r="O3" i="85"/>
  <c r="O3" i="82"/>
  <c r="P3" i="79"/>
  <c r="O3" i="80"/>
  <c r="N3" i="83"/>
  <c r="A4" i="74"/>
  <c r="A5" s="1"/>
  <c r="O8" i="77"/>
  <c r="Q8" s="1"/>
  <c r="L9" i="79" s="1"/>
  <c r="E25" i="90" s="1"/>
  <c r="N9" i="77"/>
  <c r="O9" s="1"/>
  <c r="Q9" s="1"/>
  <c r="L10" i="79" s="1"/>
  <c r="E26" i="90" s="1"/>
  <c r="O62" i="77"/>
  <c r="Q62" s="1"/>
  <c r="D132" i="90" s="1"/>
  <c r="D106"/>
  <c r="G95" i="74"/>
  <c r="Z95" s="1"/>
  <c r="AL95" s="1"/>
  <c r="E16" i="87"/>
  <c r="N65" i="74"/>
  <c r="AE65" s="1"/>
  <c r="AQ65" s="1"/>
  <c r="M65"/>
  <c r="AD65" s="1"/>
  <c r="AP65" s="1"/>
  <c r="U52" i="89"/>
  <c r="N9" i="86"/>
  <c r="F64" i="91" s="1"/>
  <c r="M67" i="74"/>
  <c r="AD67" s="1"/>
  <c r="AP67" s="1"/>
  <c r="N11" i="86"/>
  <c r="F66" i="91" s="1"/>
  <c r="I80" i="89"/>
  <c r="L63"/>
  <c r="L28" i="92"/>
  <c r="Y28" s="1"/>
  <c r="AK28" s="1"/>
  <c r="L105" i="89"/>
  <c r="P28" i="92"/>
  <c r="AC28" s="1"/>
  <c r="AO28" s="1"/>
  <c r="L64" i="89"/>
  <c r="L29" i="92"/>
  <c r="Y29" s="1"/>
  <c r="AK29" s="1"/>
  <c r="L106" i="89"/>
  <c r="P29" i="92"/>
  <c r="AC29" s="1"/>
  <c r="AO29" s="1"/>
  <c r="L65" i="89"/>
  <c r="L30" i="92"/>
  <c r="Y30" s="1"/>
  <c r="AK30" s="1"/>
  <c r="L107" i="89"/>
  <c r="P30" i="92"/>
  <c r="AC30" s="1"/>
  <c r="AO30" s="1"/>
  <c r="O113" i="89"/>
  <c r="V57" i="74"/>
  <c r="AJ57" s="1"/>
  <c r="AV57" s="1"/>
  <c r="R62" i="89"/>
  <c r="L31" i="92"/>
  <c r="Y31" s="1"/>
  <c r="AK31" s="1"/>
  <c r="P31"/>
  <c r="AC31" s="1"/>
  <c r="AO31" s="1"/>
  <c r="R63" i="89"/>
  <c r="L32" i="92"/>
  <c r="Y32" s="1"/>
  <c r="AK32" s="1"/>
  <c r="P3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L42"/>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I25" i="85"/>
  <c r="H38" i="91"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H11" i="83"/>
  <c r="C106" i="91" s="1"/>
  <c r="J7" i="86"/>
  <c r="E62" i="91" s="1"/>
  <c r="J16" i="86"/>
  <c r="E71" i="91" s="1"/>
  <c r="D158"/>
  <c r="N35" i="81"/>
  <c r="I69" i="90" s="1"/>
  <c r="L15" i="83"/>
  <c r="D110" i="91" s="1"/>
  <c r="I27" i="83"/>
  <c r="F8" i="84"/>
  <c r="D6" i="91" s="1"/>
  <c r="I9" i="85"/>
  <c r="E39" i="91" s="1"/>
  <c r="M18" i="85"/>
  <c r="M25"/>
  <c r="I38" i="91" s="1"/>
  <c r="M29" i="85"/>
  <c r="I42" i="91" s="1"/>
  <c r="E7" i="87"/>
  <c r="E17"/>
  <c r="K32"/>
  <c r="D154" i="91"/>
  <c r="S46" i="74"/>
  <c r="AH46" s="1"/>
  <c r="AT46" s="1"/>
  <c r="M26" i="92"/>
  <c r="Z26" s="1"/>
  <c r="AL26" s="1"/>
  <c r="M23"/>
  <c r="Z23" s="1"/>
  <c r="AL23" s="1"/>
  <c r="M22"/>
  <c r="Z22" s="1"/>
  <c r="AL22" s="1"/>
  <c r="M21"/>
  <c r="Z21" s="1"/>
  <c r="AL21" s="1"/>
  <c r="J71" i="74"/>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G76" i="74"/>
  <c r="Z76" s="1"/>
  <c r="AL76" s="1"/>
  <c r="O61" i="88"/>
  <c r="P77" i="74" s="1"/>
  <c r="AF77" s="1"/>
  <c r="AR77" s="1"/>
  <c r="O62" i="88"/>
  <c r="P78" i="74" s="1"/>
  <c r="AF78" s="1"/>
  <c r="AR78" s="1"/>
  <c r="J78"/>
  <c r="AB78" s="1"/>
  <c r="AN78" s="1"/>
  <c r="I25" i="83"/>
  <c r="H36" i="92"/>
  <c r="U36" s="1"/>
  <c r="AG36" s="1"/>
  <c r="I26" i="83"/>
  <c r="H37" i="92"/>
  <c r="U37" s="1"/>
  <c r="AG37" s="1"/>
  <c r="M31" i="83"/>
  <c r="D122" i="91" s="1"/>
  <c r="J41" i="92"/>
  <c r="W41" s="1"/>
  <c r="AI41" s="1"/>
  <c r="C148" i="91"/>
  <c r="G87" i="74"/>
  <c r="Z87" s="1"/>
  <c r="AL87" s="1"/>
  <c r="D156" i="9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N93" i="77"/>
  <c r="D150" i="90" s="1"/>
  <c r="F29" i="84"/>
  <c r="G5" i="91" s="1"/>
  <c r="F31" i="86"/>
  <c r="G64" i="91" s="1"/>
  <c r="AA10" i="77"/>
  <c r="J13" i="81"/>
  <c r="E68" i="90" s="1"/>
  <c r="N34" i="81"/>
  <c r="I68" i="90" s="1"/>
  <c r="N94" i="77"/>
  <c r="I12" i="82" s="1"/>
  <c r="D104" i="90"/>
  <c r="L9" i="83"/>
  <c r="D104" i="91" s="1"/>
  <c r="N30" i="84"/>
  <c r="I6" i="91" s="1"/>
  <c r="I7" i="85"/>
  <c r="E37" i="91" s="1"/>
  <c r="I28" i="85"/>
  <c r="H41" i="91" s="1"/>
  <c r="F29" i="86"/>
  <c r="G62" i="91" s="1"/>
  <c r="N37" i="86"/>
  <c r="I70" i="91" s="1"/>
  <c r="E19" i="87"/>
  <c r="K26"/>
  <c r="U8" i="88"/>
  <c r="N48" i="74" s="1"/>
  <c r="AE48" s="1"/>
  <c r="AQ48" s="1"/>
  <c r="AM11" i="88"/>
  <c r="I14"/>
  <c r="L16" i="89" s="1"/>
  <c r="K63" i="74"/>
  <c r="AC63" s="1"/>
  <c r="AO63" s="1"/>
  <c r="H29" i="86"/>
  <c r="G80" i="91" s="1"/>
  <c r="K71" i="74"/>
  <c r="AC71" s="1"/>
  <c r="AO71" s="1"/>
  <c r="Q71"/>
  <c r="AG71" s="1"/>
  <c r="AS71" s="1"/>
  <c r="W71"/>
  <c r="AK71" s="1"/>
  <c r="AW71" s="1"/>
  <c r="I61" i="88"/>
  <c r="I89"/>
  <c r="U38" i="8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5" i="56"/>
  <c r="J26" i="92"/>
  <c r="W26" s="1"/>
  <c r="AI26" s="1"/>
  <c r="R25"/>
  <c r="AE25" s="1"/>
  <c r="AQ25" s="1"/>
  <c r="N25"/>
  <c r="AA25" s="1"/>
  <c r="AM25" s="1"/>
  <c r="O34" i="56"/>
  <c r="J25" i="92"/>
  <c r="W25" s="1"/>
  <c r="AI25" s="1"/>
  <c r="R24"/>
  <c r="AE24" s="1"/>
  <c r="AQ24" s="1"/>
  <c r="N24"/>
  <c r="AA24" s="1"/>
  <c r="AM24" s="1"/>
  <c r="O33" i="56"/>
  <c r="J24" i="92"/>
  <c r="W24" s="1"/>
  <c r="AI24" s="1"/>
  <c r="R23"/>
  <c r="AE23" s="1"/>
  <c r="AQ23" s="1"/>
  <c r="N23"/>
  <c r="AA23" s="1"/>
  <c r="AM23" s="1"/>
  <c r="O32" i="56"/>
  <c r="J23" i="92"/>
  <c r="W23" s="1"/>
  <c r="AI23" s="1"/>
  <c r="R22"/>
  <c r="AE22" s="1"/>
  <c r="AQ22" s="1"/>
  <c r="N22"/>
  <c r="AA22" s="1"/>
  <c r="AM22" s="1"/>
  <c r="O31" i="56"/>
  <c r="J22" i="92"/>
  <c r="W22" s="1"/>
  <c r="AI22" s="1"/>
  <c r="R21"/>
  <c r="AE21" s="1"/>
  <c r="AQ21" s="1"/>
  <c r="N21"/>
  <c r="AA21" s="1"/>
  <c r="AM21" s="1"/>
  <c r="O30"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9"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K34" i="61"/>
  <c r="H10" i="92"/>
  <c r="U10" s="1"/>
  <c r="AG10" s="1"/>
  <c r="K30" i="61"/>
  <c r="H6" i="92"/>
  <c r="U6" s="1"/>
  <c r="AG6" s="1"/>
  <c r="P4"/>
  <c r="AC4" s="1"/>
  <c r="AO4" s="1"/>
  <c r="S28" i="61"/>
  <c r="L4" i="92"/>
  <c r="Y4" s="1"/>
  <c r="AK4" s="1"/>
  <c r="K28" i="61"/>
  <c r="H4" i="92"/>
  <c r="U4" s="1"/>
  <c r="AG4" s="1"/>
  <c r="S35" i="61"/>
  <c r="L11" i="92"/>
  <c r="Y11" s="1"/>
  <c r="AK11" s="1"/>
  <c r="P26"/>
  <c r="AC26" s="1"/>
  <c r="AO26" s="1"/>
  <c r="S35" i="56"/>
  <c r="L26" i="92"/>
  <c r="Y26" s="1"/>
  <c r="AK26" s="1"/>
  <c r="K35" i="56"/>
  <c r="H26" i="92"/>
  <c r="U26" s="1"/>
  <c r="AG26" s="1"/>
  <c r="P25"/>
  <c r="AC25" s="1"/>
  <c r="AO25" s="1"/>
  <c r="S34" i="56"/>
  <c r="L25" i="92"/>
  <c r="Y25" s="1"/>
  <c r="AK25" s="1"/>
  <c r="K34" i="56"/>
  <c r="H25" i="92"/>
  <c r="U25" s="1"/>
  <c r="AG25" s="1"/>
  <c r="P24"/>
  <c r="AC24" s="1"/>
  <c r="AO24" s="1"/>
  <c r="S33" i="56"/>
  <c r="L24" i="92"/>
  <c r="Y24" s="1"/>
  <c r="AK24" s="1"/>
  <c r="K33" i="56"/>
  <c r="H24" i="92"/>
  <c r="U24" s="1"/>
  <c r="AG24" s="1"/>
  <c r="P23"/>
  <c r="AC23" s="1"/>
  <c r="AO23" s="1"/>
  <c r="S32" i="56"/>
  <c r="L23" i="92"/>
  <c r="Y23" s="1"/>
  <c r="AK23" s="1"/>
  <c r="K32" i="56"/>
  <c r="H23" i="92"/>
  <c r="U23" s="1"/>
  <c r="AG23" s="1"/>
  <c r="P22"/>
  <c r="AC22" s="1"/>
  <c r="AO22" s="1"/>
  <c r="S31" i="56"/>
  <c r="L22" i="92"/>
  <c r="Y22" s="1"/>
  <c r="AK22" s="1"/>
  <c r="K31" i="56"/>
  <c r="H22" i="92"/>
  <c r="U22" s="1"/>
  <c r="AG22" s="1"/>
  <c r="P21"/>
  <c r="AC21" s="1"/>
  <c r="AO21" s="1"/>
  <c r="S30" i="56"/>
  <c r="L21" i="92"/>
  <c r="Y21" s="1"/>
  <c r="AK21" s="1"/>
  <c r="K30"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9" i="56"/>
  <c r="L20" i="92"/>
  <c r="Y20" s="1"/>
  <c r="AK20" s="1"/>
  <c r="K29"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S36" i="56"/>
  <c r="L27" i="92"/>
  <c r="Y27" s="1"/>
  <c r="AK27" s="1"/>
  <c r="P27"/>
  <c r="AC27" s="1"/>
  <c r="AO27" s="1"/>
  <c r="K36" i="56"/>
  <c r="H27" i="92"/>
  <c r="U27" s="1"/>
  <c r="AG27" s="1"/>
  <c r="R27"/>
  <c r="AE27" s="1"/>
  <c r="AQ27" s="1"/>
  <c r="O36"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O8" i="89"/>
  <c r="G57" i="74"/>
  <c r="Z57" s="1"/>
  <c r="AL57" s="1"/>
  <c r="I13" i="88"/>
  <c r="M53" i="74" s="1"/>
  <c r="AD53" s="1"/>
  <c r="AP53" s="1"/>
  <c r="G51"/>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D49" i="74" s="1"/>
  <c r="I96" i="89"/>
  <c r="S50" i="74"/>
  <c r="AH50" s="1"/>
  <c r="AT50" s="1"/>
  <c r="F36" i="84"/>
  <c r="G12" i="91" s="1"/>
  <c r="I73" i="89"/>
  <c r="F31" i="84"/>
  <c r="G7" i="91" s="1"/>
  <c r="Z9" i="88"/>
  <c r="AC9" s="1"/>
  <c r="AA8"/>
  <c r="Q48" i="74" s="1"/>
  <c r="AG48" s="1"/>
  <c r="AS48" s="1"/>
  <c r="J53"/>
  <c r="AB53" s="1"/>
  <c r="AN53" s="1"/>
  <c r="J14" i="84"/>
  <c r="E12" i="91" s="1"/>
  <c r="I10" i="89"/>
  <c r="F9" i="84"/>
  <c r="D7" i="91" s="1"/>
  <c r="G48" i="74"/>
  <c r="Z48" s="1"/>
  <c r="AL48" s="1"/>
  <c r="I8" i="88"/>
  <c r="H48" i="74" s="1"/>
  <c r="AA48" s="1"/>
  <c r="AM48" s="1"/>
  <c r="AM13" i="88"/>
  <c r="N36" i="84"/>
  <c r="I12" i="91" s="1"/>
  <c r="S47" i="74"/>
  <c r="AH47" s="1"/>
  <c r="AT47" s="1"/>
  <c r="J14" i="79"/>
  <c r="E12" i="90" s="1"/>
  <c r="F11" i="84"/>
  <c r="D9" i="91" s="1"/>
  <c r="J48" i="74"/>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G46"/>
  <c r="Z46" s="1"/>
  <c r="AL46" s="1"/>
  <c r="H12" i="77"/>
  <c r="F13" i="79" s="1"/>
  <c r="D11" i="90" s="1"/>
  <c r="J9" i="84"/>
  <c r="E7" i="91" s="1"/>
  <c r="J16" i="84"/>
  <c r="E14" i="91" s="1"/>
  <c r="J30" i="84"/>
  <c r="H6" i="91" s="1"/>
  <c r="J38" i="84"/>
  <c r="H14" i="91" s="1"/>
  <c r="I6" i="88"/>
  <c r="AG7"/>
  <c r="O8"/>
  <c r="AM8"/>
  <c r="I12" i="89"/>
  <c r="I54"/>
  <c r="M46" i="74"/>
  <c r="AD46" s="1"/>
  <c r="AP46" s="1"/>
  <c r="P54"/>
  <c r="AF54" s="1"/>
  <c r="AR54" s="1"/>
  <c r="J51"/>
  <c r="AB51" s="1"/>
  <c r="AN51" s="1"/>
  <c r="J47"/>
  <c r="AB47" s="1"/>
  <c r="AN47" s="1"/>
  <c r="I34" i="85"/>
  <c r="I33"/>
  <c r="E34"/>
  <c r="N20" i="86"/>
  <c r="F41"/>
  <c r="N41"/>
  <c r="J42"/>
  <c r="F43"/>
  <c r="N43"/>
  <c r="F42" i="84"/>
  <c r="G18" i="91" s="1"/>
  <c r="N19" i="84"/>
  <c r="F17" i="91" s="1"/>
  <c r="N21" i="84"/>
  <c r="F19" i="91" s="1"/>
  <c r="H72" i="88"/>
  <c r="H72" i="77"/>
  <c r="AI72" s="1"/>
  <c r="H22" i="83"/>
  <c r="H67" i="77"/>
  <c r="AI67" s="1"/>
  <c r="H17" i="83"/>
  <c r="H20"/>
  <c r="L20" s="1"/>
  <c r="H70" i="88"/>
  <c r="H70" i="77"/>
  <c r="H68" i="88"/>
  <c r="H18" i="83"/>
  <c r="AI68" i="77"/>
  <c r="H69" i="88"/>
  <c r="H69" i="77"/>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V50" i="74" s="1"/>
  <c r="AJ50" s="1"/>
  <c r="AV50" s="1"/>
  <c r="F33" i="84"/>
  <c r="G9" i="91" s="1"/>
  <c r="I11" i="85"/>
  <c r="E41" i="91" s="1"/>
  <c r="E28" i="85"/>
  <c r="G41" i="91" s="1"/>
  <c r="O117" i="89"/>
  <c r="M28" i="85"/>
  <c r="I41" i="91" s="1"/>
  <c r="L29" i="86"/>
  <c r="H80" i="91" s="1"/>
  <c r="U31" i="89"/>
  <c r="K65" i="74"/>
  <c r="AC65" s="1"/>
  <c r="AO65" s="1"/>
  <c r="J9" i="86"/>
  <c r="E64" i="91" s="1"/>
  <c r="F36" i="86"/>
  <c r="G69" i="91" s="1"/>
  <c r="N36" i="86"/>
  <c r="I69" i="91" s="1"/>
  <c r="L7" i="83"/>
  <c r="D102" i="91" s="1"/>
  <c r="L8" i="83"/>
  <c r="D103" i="91" s="1"/>
  <c r="O89" i="88"/>
  <c r="O92"/>
  <c r="N30" i="79"/>
  <c r="I7" i="90" s="1"/>
  <c r="AM8" i="77"/>
  <c r="AO8" s="1"/>
  <c r="P30" i="79" s="1"/>
  <c r="I25" i="90" s="1"/>
  <c r="F35" i="79"/>
  <c r="G12" i="90" s="1"/>
  <c r="AA13" i="77"/>
  <c r="AM13"/>
  <c r="N35" i="79"/>
  <c r="I12" i="90" s="1"/>
  <c r="F30" i="81"/>
  <c r="G64" i="90" s="1"/>
  <c r="D147"/>
  <c r="O90" i="77"/>
  <c r="Q90" s="1"/>
  <c r="D149" i="90"/>
  <c r="O92" i="77"/>
  <c r="Q92" s="1"/>
  <c r="C151" i="90"/>
  <c r="E12" i="82"/>
  <c r="I94" i="77"/>
  <c r="K94" s="1"/>
  <c r="K15" i="82"/>
  <c r="D184" i="91"/>
  <c r="D183" i="90"/>
  <c r="L29" i="84"/>
  <c r="H23" i="91" s="1"/>
  <c r="I72" i="89"/>
  <c r="AA7" i="88"/>
  <c r="V47" i="74" s="1"/>
  <c r="AJ47" s="1"/>
  <c r="AV47" s="1"/>
  <c r="F30" i="84"/>
  <c r="G6" i="91" s="1"/>
  <c r="I117" i="89"/>
  <c r="AM10" i="88"/>
  <c r="N33" i="84"/>
  <c r="I9" i="91" s="1"/>
  <c r="I122" i="89"/>
  <c r="N38" i="84"/>
  <c r="I14" i="91" s="1"/>
  <c r="O60" i="88"/>
  <c r="L10" i="83"/>
  <c r="D105" i="91" s="1"/>
  <c r="D148"/>
  <c r="T9" i="77"/>
  <c r="N97"/>
  <c r="D101" i="90"/>
  <c r="D103"/>
  <c r="D105"/>
  <c r="D107"/>
  <c r="F7" i="79"/>
  <c r="D5" i="90" s="1"/>
  <c r="J8" i="79"/>
  <c r="E6" i="90" s="1"/>
  <c r="N9" i="79"/>
  <c r="F7" i="90" s="1"/>
  <c r="F11" i="79"/>
  <c r="D9" i="90" s="1"/>
  <c r="N11" i="79"/>
  <c r="F9" i="90" s="1"/>
  <c r="N12" i="79"/>
  <c r="F10" i="90" s="1"/>
  <c r="F14" i="79"/>
  <c r="D12" i="90" s="1"/>
  <c r="N14" i="79"/>
  <c r="F12" i="90" s="1"/>
  <c r="N15" i="79"/>
  <c r="F13" i="90" s="1"/>
  <c r="M25" i="80"/>
  <c r="I38"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4" i="80"/>
  <c r="H51" i="90" s="1"/>
  <c r="O8" i="80"/>
  <c r="F52" i="90" s="1"/>
  <c r="K26" i="80"/>
  <c r="H53" i="90" s="1"/>
  <c r="O12" i="80"/>
  <c r="F56" i="90" s="1"/>
  <c r="L7" i="81"/>
  <c r="E80" i="90" s="1"/>
  <c r="H28" i="81"/>
  <c r="G80" i="90" s="1"/>
  <c r="P28" i="81"/>
  <c r="I80" i="90" s="1"/>
  <c r="L36" i="81"/>
  <c r="H88" i="90" s="1"/>
  <c r="H11" i="78"/>
  <c r="C105" i="90" s="1"/>
  <c r="H13" i="78"/>
  <c r="C107" i="90" s="1"/>
  <c r="J9" i="79"/>
  <c r="E7" i="90" s="1"/>
  <c r="J12" i="79"/>
  <c r="E10" i="90" s="1"/>
  <c r="N7" i="81"/>
  <c r="F62" i="90" s="1"/>
  <c r="N11" i="81"/>
  <c r="F66" i="90" s="1"/>
  <c r="J30" i="81"/>
  <c r="H64" i="90" s="1"/>
  <c r="J32" i="81"/>
  <c r="H66" i="90" s="1"/>
  <c r="N33" i="81"/>
  <c r="I67" i="90" s="1"/>
  <c r="J14" i="86"/>
  <c r="E69" i="91" s="1"/>
  <c r="H71" i="88"/>
  <c r="H71" i="77"/>
  <c r="AI71"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I9" i="87"/>
  <c r="F30" i="79"/>
  <c r="G7" i="90" s="1"/>
  <c r="AA8" i="77"/>
  <c r="AC8" s="1"/>
  <c r="H30" i="79" s="1"/>
  <c r="G25"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P8" i="81"/>
  <c r="F81" i="90" s="1"/>
  <c r="L12" i="81"/>
  <c r="E85" i="90" s="1"/>
  <c r="H33" i="81"/>
  <c r="G85" i="90" s="1"/>
  <c r="P33" i="81"/>
  <c r="I85" i="90" s="1"/>
  <c r="L13" i="81"/>
  <c r="E86" i="90" s="1"/>
  <c r="H36" i="81"/>
  <c r="G88" i="90" s="1"/>
  <c r="H8" i="78"/>
  <c r="C102" i="90" s="1"/>
  <c r="H10" i="78"/>
  <c r="C104" i="90" s="1"/>
  <c r="H12" i="78"/>
  <c r="C106" i="90" s="1"/>
  <c r="I26" i="80"/>
  <c r="H39" i="90" s="1"/>
  <c r="F9" i="81"/>
  <c r="D64" i="90" s="1"/>
  <c r="J12" i="81"/>
  <c r="E67" i="90" s="1"/>
  <c r="J14" i="81"/>
  <c r="E69" i="90" s="1"/>
  <c r="F35" i="81"/>
  <c r="G69" i="90" s="1"/>
  <c r="I9" i="82"/>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D52" i="74" s="1"/>
  <c r="I15" i="89"/>
  <c r="F14" i="84"/>
  <c r="D12" i="91" s="1"/>
  <c r="I57" i="89"/>
  <c r="N14" i="84"/>
  <c r="F12" i="91" s="1"/>
  <c r="I17" i="89"/>
  <c r="F16" i="84"/>
  <c r="D14" i="91" s="1"/>
  <c r="I84" i="89"/>
  <c r="I126"/>
  <c r="N41" i="84"/>
  <c r="I17" i="91" s="1"/>
  <c r="I86" i="89"/>
  <c r="F43" i="84"/>
  <c r="G19" i="91" s="1"/>
  <c r="I128" i="89"/>
  <c r="N43" i="84"/>
  <c r="I19" i="91" s="1"/>
  <c r="M24" i="85"/>
  <c r="I37" i="91" s="1"/>
  <c r="O31" i="89"/>
  <c r="M26" i="85"/>
  <c r="I39" i="91" s="1"/>
  <c r="O63" i="89"/>
  <c r="M17" i="85"/>
  <c r="V69" i="74"/>
  <c r="AJ69" s="1"/>
  <c r="AV69" s="1"/>
  <c r="C180" i="91"/>
  <c r="G11" i="87"/>
  <c r="H94" i="88"/>
  <c r="H95"/>
  <c r="G11" i="82"/>
  <c r="G13"/>
  <c r="G15"/>
  <c r="N8" i="84"/>
  <c r="F6" i="91" s="1"/>
  <c r="N37" i="84"/>
  <c r="I13" i="91" s="1"/>
  <c r="I24" i="85"/>
  <c r="H37" i="91" s="1"/>
  <c r="N15" i="86"/>
  <c r="F70" i="91" s="1"/>
  <c r="N29" i="86"/>
  <c r="I62" i="91" s="1"/>
  <c r="J34" i="86"/>
  <c r="H67" i="91" s="1"/>
  <c r="AA6" i="88"/>
  <c r="Q46" i="74" s="1"/>
  <c r="AG46" s="1"/>
  <c r="AS46" s="1"/>
  <c r="AM7" i="88"/>
  <c r="AO7" s="1"/>
  <c r="N9"/>
  <c r="T9"/>
  <c r="O37" i="89"/>
  <c r="I50"/>
  <c r="I93" i="91"/>
  <c r="I30" i="89"/>
  <c r="J8" i="84"/>
  <c r="E6" i="91" s="1"/>
  <c r="I36" i="89"/>
  <c r="O13" i="88"/>
  <c r="I78" i="89"/>
  <c r="AA13" i="88"/>
  <c r="O122" i="89"/>
  <c r="M30" i="85"/>
  <c r="I43" i="91" s="1"/>
  <c r="U73" i="89"/>
  <c r="Q65" i="74"/>
  <c r="AG65" s="1"/>
  <c r="AS65" s="1"/>
  <c r="U100" i="89"/>
  <c r="T71" i="74"/>
  <c r="AI71" s="1"/>
  <c r="AU71" s="1"/>
  <c r="D152" i="91"/>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M7" i="85"/>
  <c r="F37" i="91" s="1"/>
  <c r="O10" i="89"/>
  <c r="E9" i="85"/>
  <c r="D39" i="91" s="1"/>
  <c r="O12" i="89"/>
  <c r="E11" i="85"/>
  <c r="D41" i="91" s="1"/>
  <c r="O100" i="89"/>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K22" i="7"/>
  <c r="H17" i="112"/>
  <c r="W61" i="74" l="1"/>
  <c r="AK61" s="1"/>
  <c r="AW61" s="1"/>
  <c r="O29" i="85"/>
  <c r="I56" i="91" s="1"/>
  <c r="R121" i="89"/>
  <c r="AU22" i="24"/>
  <c r="S22" i="113" s="1"/>
  <c r="I55" i="69" s="1"/>
  <c r="AU18" i="24"/>
  <c r="S18" i="113" s="1"/>
  <c r="I51" i="69" s="1"/>
  <c r="AN22" i="24"/>
  <c r="O22" i="113" s="1"/>
  <c r="H55" i="69" s="1"/>
  <c r="AN18" i="24"/>
  <c r="O18" i="113" s="1"/>
  <c r="H51" i="69" s="1"/>
  <c r="I16" i="87"/>
  <c r="J95" i="74"/>
  <c r="AB95" s="1"/>
  <c r="AN95" s="1"/>
  <c r="Q98" i="88"/>
  <c r="K95" i="74" s="1"/>
  <c r="AC95" s="1"/>
  <c r="AO95" s="1"/>
  <c r="Q92" i="88"/>
  <c r="K89" i="74" s="1"/>
  <c r="AC89" s="1"/>
  <c r="AO89" s="1"/>
  <c r="I10" i="87"/>
  <c r="Q91" i="88"/>
  <c r="K9" i="87" s="1"/>
  <c r="D149" i="91"/>
  <c r="Q89" i="88"/>
  <c r="J86" i="74"/>
  <c r="AB86" s="1"/>
  <c r="AN86" s="1"/>
  <c r="P62"/>
  <c r="AF62" s="1"/>
  <c r="AR62" s="1"/>
  <c r="E30" i="85"/>
  <c r="G43" i="91" s="1"/>
  <c r="AC30" i="88"/>
  <c r="Q61" i="74" s="1"/>
  <c r="AG61" s="1"/>
  <c r="AS61" s="1"/>
  <c r="E29" i="80"/>
  <c r="G42" i="90" s="1"/>
  <c r="O73" i="89"/>
  <c r="Z28" i="88"/>
  <c r="AA28" s="1"/>
  <c r="AC26"/>
  <c r="Q57" i="74" s="1"/>
  <c r="AG57" s="1"/>
  <c r="AS57" s="1"/>
  <c r="O71" i="89"/>
  <c r="AC25" i="88"/>
  <c r="Q56" i="74" s="1"/>
  <c r="AG56" s="1"/>
  <c r="AS56" s="1"/>
  <c r="O70" i="89"/>
  <c r="AA25" i="88"/>
  <c r="AG22" i="24"/>
  <c r="K22" i="113" s="1"/>
  <c r="G55" i="69" s="1"/>
  <c r="G43"/>
  <c r="Z22" i="24"/>
  <c r="P14" i="74" s="1"/>
  <c r="AF14" s="1"/>
  <c r="AR14" s="1"/>
  <c r="Z18" i="24"/>
  <c r="P10" i="74" s="1"/>
  <c r="AF10" s="1"/>
  <c r="AR10" s="1"/>
  <c r="S18" i="24"/>
  <c r="I59" i="77"/>
  <c r="K59" s="1"/>
  <c r="J9" i="78" s="1"/>
  <c r="C129" i="90" s="1"/>
  <c r="AI59" i="77"/>
  <c r="AX8" i="10" s="1"/>
  <c r="I58" i="77"/>
  <c r="K58" s="1"/>
  <c r="J8" i="78" s="1"/>
  <c r="C128" i="90" s="1"/>
  <c r="AI58" i="77"/>
  <c r="AX7" i="10" s="1"/>
  <c r="I57" i="77"/>
  <c r="K57" s="1"/>
  <c r="J7" i="78" s="1"/>
  <c r="C127" i="90" s="1"/>
  <c r="AI57" i="77"/>
  <c r="AX6" i="10" s="1"/>
  <c r="AX20"/>
  <c r="AY20"/>
  <c r="AX17"/>
  <c r="AY17"/>
  <c r="AX19"/>
  <c r="AY19"/>
  <c r="AX16"/>
  <c r="AY16"/>
  <c r="AX21"/>
  <c r="AY21"/>
  <c r="AX18"/>
  <c r="AY18"/>
  <c r="O54" i="89"/>
  <c r="O94" i="88"/>
  <c r="Q94" s="1"/>
  <c r="U33" i="89"/>
  <c r="O59"/>
  <c r="E26" i="85"/>
  <c r="G39" i="91" s="1"/>
  <c r="I8" i="85"/>
  <c r="E38" i="91" s="1"/>
  <c r="E24" i="85"/>
  <c r="G37" i="91" s="1"/>
  <c r="M24" i="80"/>
  <c r="I37" i="90" s="1"/>
  <c r="AM9" i="77"/>
  <c r="AO9" s="1"/>
  <c r="P31" i="79" s="1"/>
  <c r="I26" i="90" s="1"/>
  <c r="O91" i="88"/>
  <c r="E25" i="80"/>
  <c r="G38" i="90" s="1"/>
  <c r="J8" i="81"/>
  <c r="E63" i="90" s="1"/>
  <c r="I8" i="87"/>
  <c r="O90" i="88"/>
  <c r="Q90" s="1"/>
  <c r="D150" i="91"/>
  <c r="I7" i="87"/>
  <c r="D147" i="91"/>
  <c r="O80" i="89"/>
  <c r="O75"/>
  <c r="O33"/>
  <c r="K48" i="74"/>
  <c r="AC48" s="1"/>
  <c r="AO48" s="1"/>
  <c r="O79" i="89"/>
  <c r="O96" i="88"/>
  <c r="Q96" s="1"/>
  <c r="I13" i="85"/>
  <c r="E43" i="91" s="1"/>
  <c r="F38" i="84"/>
  <c r="G14" i="91" s="1"/>
  <c r="J77" i="74"/>
  <c r="AB77" s="1"/>
  <c r="AN77" s="1"/>
  <c r="I12" i="87"/>
  <c r="O38" i="89"/>
  <c r="J55" i="74"/>
  <c r="AB55" s="1"/>
  <c r="AN55" s="1"/>
  <c r="P55"/>
  <c r="AF55" s="1"/>
  <c r="AR55" s="1"/>
  <c r="E29" i="85"/>
  <c r="G42" i="91" s="1"/>
  <c r="E25" i="85"/>
  <c r="G38" i="91" s="1"/>
  <c r="J57" i="74"/>
  <c r="AB57" s="1"/>
  <c r="AN57" s="1"/>
  <c r="J88"/>
  <c r="AB88" s="1"/>
  <c r="AN88" s="1"/>
  <c r="J93"/>
  <c r="AB93" s="1"/>
  <c r="AN93" s="1"/>
  <c r="J89"/>
  <c r="AB89" s="1"/>
  <c r="AN89" s="1"/>
  <c r="M62"/>
  <c r="AD62" s="1"/>
  <c r="AP62" s="1"/>
  <c r="AA27" i="88"/>
  <c r="AC27" s="1"/>
  <c r="I75" i="122"/>
  <c r="U60" i="88"/>
  <c r="W60" s="1"/>
  <c r="Y10" i="83"/>
  <c r="Q62" i="88"/>
  <c r="N12" i="83" s="1"/>
  <c r="D133" i="91" s="1"/>
  <c r="U62" i="88"/>
  <c r="W62" s="1"/>
  <c r="U57"/>
  <c r="W57" s="1"/>
  <c r="M73" i="74"/>
  <c r="AD73" s="1"/>
  <c r="AP73" s="1"/>
  <c r="U61" i="88"/>
  <c r="W61" s="1"/>
  <c r="U59"/>
  <c r="W59" s="1"/>
  <c r="M75" i="74"/>
  <c r="AD75" s="1"/>
  <c r="AP75" s="1"/>
  <c r="U58" i="88"/>
  <c r="W58" s="1"/>
  <c r="M74" i="74"/>
  <c r="AD74" s="1"/>
  <c r="AP74" s="1"/>
  <c r="Q61" i="88"/>
  <c r="AI25"/>
  <c r="K24" i="85" s="1"/>
  <c r="H51" i="91" s="1"/>
  <c r="M95" i="74"/>
  <c r="AD95" s="1"/>
  <c r="AP95" s="1"/>
  <c r="P86"/>
  <c r="AF86" s="1"/>
  <c r="AR86" s="1"/>
  <c r="M86"/>
  <c r="AD86" s="1"/>
  <c r="AP86" s="1"/>
  <c r="K63" i="88"/>
  <c r="H79" i="74" s="1"/>
  <c r="AA79" s="1"/>
  <c r="AM79" s="1"/>
  <c r="M79"/>
  <c r="AD79" s="1"/>
  <c r="AP79" s="1"/>
  <c r="K79"/>
  <c r="AC79" s="1"/>
  <c r="AO79" s="1"/>
  <c r="P79"/>
  <c r="AF79" s="1"/>
  <c r="AR79" s="1"/>
  <c r="M88"/>
  <c r="AD88" s="1"/>
  <c r="AP88" s="1"/>
  <c r="M87"/>
  <c r="AD87" s="1"/>
  <c r="AP87" s="1"/>
  <c r="V53"/>
  <c r="AJ53" s="1"/>
  <c r="AV53" s="1"/>
  <c r="V54"/>
  <c r="AJ54" s="1"/>
  <c r="AV54" s="1"/>
  <c r="P50"/>
  <c r="AF50" s="1"/>
  <c r="AR50" s="1"/>
  <c r="V51"/>
  <c r="AJ51" s="1"/>
  <c r="AV51" s="1"/>
  <c r="X50" i="89"/>
  <c r="AG25" i="88"/>
  <c r="AG26"/>
  <c r="AI26" s="1"/>
  <c r="K25" i="85" s="1"/>
  <c r="H52" i="91" s="1"/>
  <c r="P89" i="74"/>
  <c r="AF89" s="1"/>
  <c r="AR89" s="1"/>
  <c r="P91"/>
  <c r="AF91" s="1"/>
  <c r="AR91" s="1"/>
  <c r="P95"/>
  <c r="AF95" s="1"/>
  <c r="AR95" s="1"/>
  <c r="P88"/>
  <c r="AF88" s="1"/>
  <c r="AR88" s="1"/>
  <c r="P87"/>
  <c r="AF87" s="1"/>
  <c r="AR87" s="1"/>
  <c r="Q60" i="88"/>
  <c r="P76" i="74"/>
  <c r="AF76" s="1"/>
  <c r="AR76" s="1"/>
  <c r="P93"/>
  <c r="AF93" s="1"/>
  <c r="AR93" s="1"/>
  <c r="K61" i="88"/>
  <c r="M77" i="74"/>
  <c r="AD77" s="1"/>
  <c r="AP77" s="1"/>
  <c r="K60" i="88"/>
  <c r="M76" i="74"/>
  <c r="AD76" s="1"/>
  <c r="AP76" s="1"/>
  <c r="K62" i="88"/>
  <c r="M78" i="74"/>
  <c r="AD78" s="1"/>
  <c r="AP78" s="1"/>
  <c r="D62"/>
  <c r="D60"/>
  <c r="D58"/>
  <c r="D55"/>
  <c r="P53"/>
  <c r="AF53" s="1"/>
  <c r="AR53" s="1"/>
  <c r="M48"/>
  <c r="AD48" s="1"/>
  <c r="AP48" s="1"/>
  <c r="M47"/>
  <c r="AD47" s="1"/>
  <c r="AP47" s="1"/>
  <c r="V48"/>
  <c r="AJ48" s="1"/>
  <c r="AV48" s="1"/>
  <c r="P48"/>
  <c r="AF48" s="1"/>
  <c r="AR48" s="1"/>
  <c r="M54"/>
  <c r="AD54" s="1"/>
  <c r="AP54" s="1"/>
  <c r="P46"/>
  <c r="AF46" s="1"/>
  <c r="AR46" s="1"/>
  <c r="S51"/>
  <c r="AH51" s="1"/>
  <c r="AT51" s="1"/>
  <c r="P51"/>
  <c r="AF51" s="1"/>
  <c r="AR51" s="1"/>
  <c r="V46"/>
  <c r="AJ46" s="1"/>
  <c r="AV46" s="1"/>
  <c r="J62"/>
  <c r="AB62" s="1"/>
  <c r="AN62" s="1"/>
  <c r="M57"/>
  <c r="AD57" s="1"/>
  <c r="AP57" s="1"/>
  <c r="O28" i="89"/>
  <c r="M8" i="85"/>
  <c r="F38" i="91" s="1"/>
  <c r="U29" i="89"/>
  <c r="U71"/>
  <c r="J58" i="74"/>
  <c r="AB58" s="1"/>
  <c r="AN58" s="1"/>
  <c r="J60"/>
  <c r="AB60" s="1"/>
  <c r="AN60" s="1"/>
  <c r="M29" i="80"/>
  <c r="I42" i="90" s="1"/>
  <c r="I8" i="80"/>
  <c r="E38" i="90" s="1"/>
  <c r="J11" i="86"/>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J36" i="81"/>
  <c r="H70" i="90" s="1"/>
  <c r="N15" i="81"/>
  <c r="F70" i="90" s="1"/>
  <c r="O15" i="113"/>
  <c r="H48" i="69" s="1"/>
  <c r="U44" i="88"/>
  <c r="W44"/>
  <c r="P10" i="86" s="1"/>
  <c r="F83" i="91" s="1"/>
  <c r="U26" i="88"/>
  <c r="W26"/>
  <c r="O8" i="85" s="1"/>
  <c r="F52" i="91" s="1"/>
  <c r="N36" i="81"/>
  <c r="I70" i="90" s="1"/>
  <c r="AM44" i="88"/>
  <c r="AO44"/>
  <c r="AM28"/>
  <c r="AO28"/>
  <c r="AG42"/>
  <c r="AI42"/>
  <c r="L30" i="86" s="1"/>
  <c r="H81" i="91" s="1"/>
  <c r="U25" i="88"/>
  <c r="W25" s="1"/>
  <c r="R49" i="89" s="1"/>
  <c r="F36" i="81"/>
  <c r="G70" i="90" s="1"/>
  <c r="N29" i="81"/>
  <c r="I63" i="90" s="1"/>
  <c r="I12" i="80"/>
  <c r="E42" i="90" s="1"/>
  <c r="AA44" i="88"/>
  <c r="AC44"/>
  <c r="AC28"/>
  <c r="J15" i="81"/>
  <c r="E70" i="90" s="1"/>
  <c r="F29" i="81"/>
  <c r="G63" i="90" s="1"/>
  <c r="I7" i="80"/>
  <c r="E37" i="90" s="1"/>
  <c r="AA42" i="88"/>
  <c r="AC42"/>
  <c r="O26"/>
  <c r="Q26" s="1"/>
  <c r="AG30"/>
  <c r="AI30"/>
  <c r="R100" i="89" s="1"/>
  <c r="U30" i="88"/>
  <c r="W30" s="1"/>
  <c r="O42"/>
  <c r="Q42"/>
  <c r="O25"/>
  <c r="Q25" s="1"/>
  <c r="AA46"/>
  <c r="AC46"/>
  <c r="O46"/>
  <c r="Q46"/>
  <c r="O30"/>
  <c r="Q30" s="1"/>
  <c r="I46"/>
  <c r="I42"/>
  <c r="L22" i="7"/>
  <c r="I17" i="112"/>
  <c r="K13" i="113"/>
  <c r="G46" i="69" s="1"/>
  <c r="O11" i="113"/>
  <c r="H44" i="69" s="1"/>
  <c r="AI12" i="88"/>
  <c r="Q12"/>
  <c r="W9"/>
  <c r="W12"/>
  <c r="AI7"/>
  <c r="T47" i="74" s="1"/>
  <c r="AI47" s="1"/>
  <c r="AU47" s="1"/>
  <c r="AI9" i="88"/>
  <c r="Q9"/>
  <c r="AC7"/>
  <c r="Q47" i="74" s="1"/>
  <c r="AG47" s="1"/>
  <c r="AS47" s="1"/>
  <c r="Q7" i="88"/>
  <c r="K47" i="74" s="1"/>
  <c r="AC47" s="1"/>
  <c r="AO47" s="1"/>
  <c r="I75" i="120"/>
  <c r="I66" i="121"/>
  <c r="K15" i="113"/>
  <c r="G48" i="69" s="1"/>
  <c r="M25" i="113"/>
  <c r="N22" i="7"/>
  <c r="Q24" i="115"/>
  <c r="O65" i="7"/>
  <c r="I25" i="113"/>
  <c r="M22" i="7"/>
  <c r="O22"/>
  <c r="G17" i="112"/>
  <c r="J22" i="7"/>
  <c r="V10" i="74"/>
  <c r="AJ10" s="1"/>
  <c r="AV10" s="1"/>
  <c r="V14"/>
  <c r="AJ14" s="1"/>
  <c r="AV14" s="1"/>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K98" i="88"/>
  <c r="H95" i="74" s="1"/>
  <c r="AA95" s="1"/>
  <c r="AM95" s="1"/>
  <c r="K90" i="88"/>
  <c r="H87" i="74" s="1"/>
  <c r="AA87" s="1"/>
  <c r="AM87" s="1"/>
  <c r="K91" i="88"/>
  <c r="H88" i="74" s="1"/>
  <c r="AA88" s="1"/>
  <c r="AM88" s="1"/>
  <c r="K89" i="88"/>
  <c r="H86" i="74" s="1"/>
  <c r="AA86" s="1"/>
  <c r="AM86" s="1"/>
  <c r="G139" i="69"/>
  <c r="Q22" i="24"/>
  <c r="K14" i="74" s="1"/>
  <c r="AC14" s="1"/>
  <c r="AO14" s="1"/>
  <c r="L14"/>
  <c r="AF44" i="88"/>
  <c r="AI44" s="1"/>
  <c r="AG43"/>
  <c r="H44"/>
  <c r="I43"/>
  <c r="I30"/>
  <c r="AF28"/>
  <c r="I27" i="85" s="1"/>
  <c r="H40" i="91" s="1"/>
  <c r="AG27" i="88"/>
  <c r="T28"/>
  <c r="U27"/>
  <c r="I28"/>
  <c r="K28" s="1"/>
  <c r="H59" i="74" s="1"/>
  <c r="AA59" s="1"/>
  <c r="AM59" s="1"/>
  <c r="N44" i="88"/>
  <c r="Q44" s="1"/>
  <c r="O43"/>
  <c r="N28"/>
  <c r="O27"/>
  <c r="Q27" s="1"/>
  <c r="AF44" i="77"/>
  <c r="AG44" s="1"/>
  <c r="AI44" s="1"/>
  <c r="L31" i="81" s="1"/>
  <c r="H83" i="90" s="1"/>
  <c r="AG43" i="77"/>
  <c r="AI43" s="1"/>
  <c r="L30" i="81" s="1"/>
  <c r="H82" i="90" s="1"/>
  <c r="T44" i="77"/>
  <c r="U43"/>
  <c r="W43" s="1"/>
  <c r="P9" i="81" s="1"/>
  <c r="F82" i="90" s="1"/>
  <c r="H44" i="77"/>
  <c r="I44" s="1"/>
  <c r="K44" s="1"/>
  <c r="I43"/>
  <c r="K43" s="1"/>
  <c r="H9" i="81" s="1"/>
  <c r="D82" i="90" s="1"/>
  <c r="U28" i="77"/>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J14" i="74"/>
  <c r="AB14" s="1"/>
  <c r="AN14" s="1"/>
  <c r="L37" i="89"/>
  <c r="L30"/>
  <c r="Q51" i="74"/>
  <c r="AG51" s="1"/>
  <c r="AS51" s="1"/>
  <c r="G82"/>
  <c r="Z82" s="1"/>
  <c r="AL82" s="1"/>
  <c r="H34" i="84"/>
  <c r="G28" i="91" s="1"/>
  <c r="C178"/>
  <c r="R92" i="89"/>
  <c r="L8" i="84"/>
  <c r="E24" i="91" s="1"/>
  <c r="X58" i="89"/>
  <c r="P15" i="86"/>
  <c r="F88" i="91" s="1"/>
  <c r="E11" i="82"/>
  <c r="T61" i="74"/>
  <c r="AI61" s="1"/>
  <c r="AU61" s="1"/>
  <c r="K27" i="80"/>
  <c r="H54" i="90" s="1"/>
  <c r="M81" i="74"/>
  <c r="AD81" s="1"/>
  <c r="AP81" s="1"/>
  <c r="P9" i="86"/>
  <c r="F82" i="91" s="1"/>
  <c r="V66" i="74"/>
  <c r="AJ66" s="1"/>
  <c r="AV66" s="1"/>
  <c r="V59"/>
  <c r="AJ59" s="1"/>
  <c r="AV59" s="1"/>
  <c r="L10" i="81"/>
  <c r="E83" i="90" s="1"/>
  <c r="L15" i="84"/>
  <c r="E31" i="91" s="1"/>
  <c r="L34" i="84"/>
  <c r="H28" i="91" s="1"/>
  <c r="AG9" i="77"/>
  <c r="AI9" s="1"/>
  <c r="L31" i="79" s="1"/>
  <c r="H26" i="90" s="1"/>
  <c r="N13" i="79"/>
  <c r="F11" i="90" s="1"/>
  <c r="V11" i="74"/>
  <c r="AJ11" s="1"/>
  <c r="AV11" s="1"/>
  <c r="F31" i="81"/>
  <c r="G65" i="90" s="1"/>
  <c r="L97" i="89"/>
  <c r="P15" i="84"/>
  <c r="F31" i="91" s="1"/>
  <c r="J11" i="74"/>
  <c r="AB11" s="1"/>
  <c r="AN11" s="1"/>
  <c r="S66"/>
  <c r="AH66" s="1"/>
  <c r="AT66" s="1"/>
  <c r="S11"/>
  <c r="AH11" s="1"/>
  <c r="AT11" s="1"/>
  <c r="P11"/>
  <c r="AF11" s="1"/>
  <c r="AR11" s="1"/>
  <c r="P66"/>
  <c r="AF66" s="1"/>
  <c r="AR66" s="1"/>
  <c r="M11"/>
  <c r="AD11" s="1"/>
  <c r="AP11" s="1"/>
  <c r="G66"/>
  <c r="Z66" s="1"/>
  <c r="AL66" s="1"/>
  <c r="J66"/>
  <c r="AB66" s="1"/>
  <c r="AN66" s="1"/>
  <c r="M66"/>
  <c r="AD66" s="1"/>
  <c r="AP66" s="1"/>
  <c r="H37" i="86"/>
  <c r="G88" i="91" s="1"/>
  <c r="W65" i="74"/>
  <c r="AK65" s="1"/>
  <c r="AW65" s="1"/>
  <c r="X113" i="89"/>
  <c r="F31" i="79"/>
  <c r="G8" i="90" s="1"/>
  <c r="C152"/>
  <c r="H9" i="78"/>
  <c r="C103" i="90" s="1"/>
  <c r="E10" i="82"/>
  <c r="C149" i="90"/>
  <c r="G59" i="74"/>
  <c r="Z59" s="1"/>
  <c r="AL59" s="1"/>
  <c r="G91"/>
  <c r="Z91" s="1"/>
  <c r="AL91" s="1"/>
  <c r="J52"/>
  <c r="AB52" s="1"/>
  <c r="AN52" s="1"/>
  <c r="G52"/>
  <c r="Z52" s="1"/>
  <c r="AL52" s="1"/>
  <c r="G94"/>
  <c r="Z94" s="1"/>
  <c r="AL94" s="1"/>
  <c r="W58"/>
  <c r="AK58" s="1"/>
  <c r="AW58" s="1"/>
  <c r="L100" i="89"/>
  <c r="C177" i="91"/>
  <c r="G49" i="74"/>
  <c r="Z49" s="1"/>
  <c r="AL49" s="1"/>
  <c r="W48"/>
  <c r="AK48" s="1"/>
  <c r="AW48" s="1"/>
  <c r="W54"/>
  <c r="AK54" s="1"/>
  <c r="AW54" s="1"/>
  <c r="J92"/>
  <c r="AB92" s="1"/>
  <c r="AN92" s="1"/>
  <c r="J49"/>
  <c r="AB49" s="1"/>
  <c r="AN49" s="1"/>
  <c r="G92"/>
  <c r="Z92" s="1"/>
  <c r="AL92" s="1"/>
  <c r="G90"/>
  <c r="Z90" s="1"/>
  <c r="AL90" s="1"/>
  <c r="J90"/>
  <c r="AB90" s="1"/>
  <c r="AN90" s="1"/>
  <c r="W46"/>
  <c r="AK46" s="1"/>
  <c r="AW46" s="1"/>
  <c r="W57"/>
  <c r="AK57" s="1"/>
  <c r="AW57" s="1"/>
  <c r="G89"/>
  <c r="Z89" s="1"/>
  <c r="AL89" s="1"/>
  <c r="W47"/>
  <c r="AK47" s="1"/>
  <c r="AW47" s="1"/>
  <c r="G93"/>
  <c r="Z93" s="1"/>
  <c r="AL93" s="1"/>
  <c r="G83"/>
  <c r="Z83" s="1"/>
  <c r="AL83" s="1"/>
  <c r="W56"/>
  <c r="AK56" s="1"/>
  <c r="AW56" s="1"/>
  <c r="L118" i="89"/>
  <c r="L13"/>
  <c r="N66" i="74"/>
  <c r="AE66" s="1"/>
  <c r="AQ66" s="1"/>
  <c r="G8" i="87"/>
  <c r="P9" i="84"/>
  <c r="F25" i="91" s="1"/>
  <c r="H12" i="84"/>
  <c r="D28" i="91" s="1"/>
  <c r="L58" i="89"/>
  <c r="H15" i="84"/>
  <c r="D31" i="91" s="1"/>
  <c r="K51" i="74"/>
  <c r="AC51" s="1"/>
  <c r="AO51" s="1"/>
  <c r="G69"/>
  <c r="Z69" s="1"/>
  <c r="AL69" s="1"/>
  <c r="P69"/>
  <c r="AF69" s="1"/>
  <c r="AR69" s="1"/>
  <c r="W68"/>
  <c r="AK68" s="1"/>
  <c r="AW68" s="1"/>
  <c r="J69"/>
  <c r="AB69" s="1"/>
  <c r="AN69" s="1"/>
  <c r="X51" i="89"/>
  <c r="P8" i="86"/>
  <c r="F81" i="91" s="1"/>
  <c r="Q64" i="74"/>
  <c r="AG64" s="1"/>
  <c r="AS64" s="1"/>
  <c r="X71" i="89"/>
  <c r="T64" i="74"/>
  <c r="AI64" s="1"/>
  <c r="AU64" s="1"/>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L7" i="86"/>
  <c r="E80" i="91" s="1"/>
  <c r="F32" i="84"/>
  <c r="G8" i="91" s="1"/>
  <c r="X79" i="89"/>
  <c r="L12" i="84"/>
  <c r="E28" i="91" s="1"/>
  <c r="W51" i="74"/>
  <c r="AK51" s="1"/>
  <c r="AW51" s="1"/>
  <c r="H68"/>
  <c r="AA68" s="1"/>
  <c r="AM68" s="1"/>
  <c r="J75"/>
  <c r="AB75" s="1"/>
  <c r="AN75" s="1"/>
  <c r="H8" i="84"/>
  <c r="D24" i="91" s="1"/>
  <c r="L121" i="89"/>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I13" i="87"/>
  <c r="C176" i="91"/>
  <c r="L52" i="89"/>
  <c r="L31"/>
  <c r="C153" i="90"/>
  <c r="I11" i="82"/>
  <c r="R115" i="89"/>
  <c r="L15" i="86"/>
  <c r="E88" i="91" s="1"/>
  <c r="H34" i="81"/>
  <c r="G86" i="90" s="1"/>
  <c r="X52" i="89"/>
  <c r="R113"/>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G84"/>
  <c r="Z84" s="1"/>
  <c r="AL84" s="1"/>
  <c r="J11" i="83"/>
  <c r="C132" i="91" s="1"/>
  <c r="H77" i="74"/>
  <c r="AA77" s="1"/>
  <c r="AM77" s="1"/>
  <c r="W63"/>
  <c r="AK63" s="1"/>
  <c r="AW63" s="1"/>
  <c r="P29" i="86"/>
  <c r="I80" i="91" s="1"/>
  <c r="N10" i="83"/>
  <c r="D131" i="91" s="1"/>
  <c r="K76" i="74"/>
  <c r="AC76" s="1"/>
  <c r="AO76" s="1"/>
  <c r="K10" i="87"/>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88" i="74"/>
  <c r="AC88" s="1"/>
  <c r="AO88" s="1"/>
  <c r="K7" i="87"/>
  <c r="K86" i="74"/>
  <c r="AC86" s="1"/>
  <c r="AO86" s="1"/>
  <c r="Q63"/>
  <c r="AG63" s="1"/>
  <c r="AS63" s="1"/>
  <c r="D155" i="91"/>
  <c r="J94" i="74"/>
  <c r="AB94" s="1"/>
  <c r="AN94" s="1"/>
  <c r="I15" i="87"/>
  <c r="K78" i="74"/>
  <c r="AC78" s="1"/>
  <c r="AO78" s="1"/>
  <c r="J10" i="83"/>
  <c r="C131" i="91" s="1"/>
  <c r="H76" i="74"/>
  <c r="AA76" s="1"/>
  <c r="AM76" s="1"/>
  <c r="M69"/>
  <c r="AD69" s="1"/>
  <c r="AP69" s="1"/>
  <c r="N13" i="86"/>
  <c r="F68" i="91" s="1"/>
  <c r="G85" i="74"/>
  <c r="Z85" s="1"/>
  <c r="AL85" s="1"/>
  <c r="H78"/>
  <c r="AA78" s="1"/>
  <c r="AM78" s="1"/>
  <c r="J12" i="83"/>
  <c r="C133" i="91" s="1"/>
  <c r="P34" i="81"/>
  <c r="I86" i="90" s="1"/>
  <c r="I74" i="89"/>
  <c r="N10" i="86"/>
  <c r="F65" i="91" s="1"/>
  <c r="AA9" i="88"/>
  <c r="Q49" i="74" s="1"/>
  <c r="AG49" s="1"/>
  <c r="AS49" s="1"/>
  <c r="P31" i="84"/>
  <c r="I25" i="91" s="1"/>
  <c r="L9" i="89"/>
  <c r="O94" i="77"/>
  <c r="Q94" s="1"/>
  <c r="K12" i="82" s="1"/>
  <c r="Q66" i="74"/>
  <c r="AG66" s="1"/>
  <c r="AS66" s="1"/>
  <c r="L73" i="89"/>
  <c r="P30" i="86"/>
  <c r="I81" i="91" s="1"/>
  <c r="W64" i="74"/>
  <c r="AK64" s="1"/>
  <c r="AW64" s="1"/>
  <c r="X72" i="89"/>
  <c r="X30"/>
  <c r="K64" i="74"/>
  <c r="AC64" s="1"/>
  <c r="AO64" s="1"/>
  <c r="H30" i="86"/>
  <c r="G81" i="91"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P12" i="84"/>
  <c r="F28" i="91" s="1"/>
  <c r="AM9" i="88"/>
  <c r="L10" i="89"/>
  <c r="N35" i="86"/>
  <c r="I68" i="91" s="1"/>
  <c r="D182" i="90"/>
  <c r="D183" i="91"/>
  <c r="K14" i="82"/>
  <c r="C114" i="91"/>
  <c r="D114"/>
  <c r="C151"/>
  <c r="E11" i="87"/>
  <c r="D151" i="91"/>
  <c r="I11" i="87"/>
  <c r="M10" i="85"/>
  <c r="F40" i="91" s="1"/>
  <c r="H66" i="74"/>
  <c r="AA66" s="1"/>
  <c r="AM66" s="1"/>
  <c r="L114" i="89"/>
  <c r="P30" i="84"/>
  <c r="I24" i="91" s="1"/>
  <c r="C152"/>
  <c r="E12" i="87"/>
  <c r="I94" i="88"/>
  <c r="O116" i="89"/>
  <c r="M27" i="85"/>
  <c r="I40" i="91" s="1"/>
  <c r="I10" i="85"/>
  <c r="E40" i="91" s="1"/>
  <c r="I98" i="89"/>
  <c r="J35" i="84"/>
  <c r="H11" i="91" s="1"/>
  <c r="AG12" i="88"/>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K66" i="74"/>
  <c r="AC66" s="1"/>
  <c r="AO66" s="1"/>
  <c r="O27" i="80"/>
  <c r="I54" i="90" s="1"/>
  <c r="M27" i="80"/>
  <c r="I40" i="90" s="1"/>
  <c r="I10" i="80"/>
  <c r="E40" i="90" s="1"/>
  <c r="K10" i="80"/>
  <c r="E54" i="90" s="1"/>
  <c r="C112" i="91"/>
  <c r="D112"/>
  <c r="H20" i="78"/>
  <c r="I70" i="77"/>
  <c r="K70" s="1"/>
  <c r="C150" i="91"/>
  <c r="I92" i="88"/>
  <c r="E10" i="87"/>
  <c r="G16"/>
  <c r="O11" i="89"/>
  <c r="E10" i="85"/>
  <c r="D40" i="91" s="1"/>
  <c r="I77" i="89"/>
  <c r="AA12" i="88"/>
  <c r="Q52" i="74" s="1"/>
  <c r="AG52" s="1"/>
  <c r="AS52" s="1"/>
  <c r="F35" i="84"/>
  <c r="G11" i="91" s="1"/>
  <c r="U95" i="89"/>
  <c r="T66" i="74"/>
  <c r="AI66" s="1"/>
  <c r="AU66" s="1"/>
  <c r="J32" i="86"/>
  <c r="H65" i="91" s="1"/>
  <c r="I11" i="89"/>
  <c r="F10" i="84"/>
  <c r="D8" i="91" s="1"/>
  <c r="I9" i="88"/>
  <c r="M49" i="74" s="1"/>
  <c r="AD49" s="1"/>
  <c r="AP49" s="1"/>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X31" i="89"/>
  <c r="L9" i="86"/>
  <c r="E82" i="91" s="1"/>
  <c r="C176" i="90"/>
  <c r="G8" i="82"/>
  <c r="G27" i="80"/>
  <c r="G54" i="90" s="1"/>
  <c r="E27" i="80"/>
  <c r="G40" i="90" s="1"/>
  <c r="J34" i="79"/>
  <c r="H11" i="90" s="1"/>
  <c r="AG12" i="77"/>
  <c r="AI12" s="1"/>
  <c r="L34" i="79" s="1"/>
  <c r="H29" i="90" s="1"/>
  <c r="I69" i="88"/>
  <c r="K69" s="1"/>
  <c r="C111" i="91"/>
  <c r="D111"/>
  <c r="X94" i="89"/>
  <c r="L31" i="86"/>
  <c r="H82" i="91" s="1"/>
  <c r="O95" i="89"/>
  <c r="X100"/>
  <c r="L37" i="86"/>
  <c r="H88" i="91" s="1"/>
  <c r="H31" i="86"/>
  <c r="G82" i="91" s="1"/>
  <c r="X73" i="89"/>
  <c r="I32"/>
  <c r="J10" i="84"/>
  <c r="E8" i="91" s="1"/>
  <c r="O9" i="88"/>
  <c r="O74" i="89"/>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M16" i="75" s="1"/>
  <c r="I70" i="88"/>
  <c r="K70" s="1"/>
  <c r="I67"/>
  <c r="K67" s="1"/>
  <c r="M15" i="75" s="1"/>
  <c r="H22" i="78"/>
  <c r="AQ49" i="24"/>
  <c r="AR49" s="1"/>
  <c r="AJ49"/>
  <c r="AK49" s="1"/>
  <c r="AC49"/>
  <c r="AD49" s="1"/>
  <c r="V49"/>
  <c r="W49" s="1"/>
  <c r="O49"/>
  <c r="P49" s="1"/>
  <c r="AQ47"/>
  <c r="AR47" s="1"/>
  <c r="AJ47"/>
  <c r="AK47" s="1"/>
  <c r="AC47"/>
  <c r="AD47" s="1"/>
  <c r="V47"/>
  <c r="W47" s="1"/>
  <c r="O47"/>
  <c r="P47" s="1"/>
  <c r="K29" i="85" l="1"/>
  <c r="H56" i="91" s="1"/>
  <c r="R94" i="89"/>
  <c r="AI27" i="88"/>
  <c r="T57" i="74"/>
  <c r="AI57" s="1"/>
  <c r="AU57" s="1"/>
  <c r="R91" i="89"/>
  <c r="K16" i="87"/>
  <c r="K14"/>
  <c r="K93" i="74"/>
  <c r="AC93" s="1"/>
  <c r="AO93" s="1"/>
  <c r="K91"/>
  <c r="AC91" s="1"/>
  <c r="AO91" s="1"/>
  <c r="K12" i="87"/>
  <c r="K87" i="74"/>
  <c r="AC87" s="1"/>
  <c r="AO87" s="1"/>
  <c r="K8" i="87"/>
  <c r="G29" i="85"/>
  <c r="G56" i="91" s="1"/>
  <c r="R79" i="89"/>
  <c r="Q58" i="74"/>
  <c r="AG58" s="1"/>
  <c r="AS58" s="1"/>
  <c r="G26" i="85"/>
  <c r="G53" i="91" s="1"/>
  <c r="R73" i="89"/>
  <c r="E27" i="85"/>
  <c r="G40" i="91" s="1"/>
  <c r="G25" i="85"/>
  <c r="G52" i="91" s="1"/>
  <c r="R70" i="89"/>
  <c r="G24" i="85"/>
  <c r="G51" i="91" s="1"/>
  <c r="O12" i="85"/>
  <c r="F56" i="91" s="1"/>
  <c r="R58" i="89"/>
  <c r="W28" i="88"/>
  <c r="R53" i="89" s="1"/>
  <c r="O53"/>
  <c r="O9" i="85"/>
  <c r="F53" i="91" s="1"/>
  <c r="W27" i="88"/>
  <c r="M59" i="74"/>
  <c r="AD59" s="1"/>
  <c r="AP59" s="1"/>
  <c r="J13" i="83"/>
  <c r="C134" i="91" s="1"/>
  <c r="K61" i="74"/>
  <c r="AC61" s="1"/>
  <c r="AO61" s="1"/>
  <c r="K12" i="85"/>
  <c r="E56" i="91" s="1"/>
  <c r="R37" i="89"/>
  <c r="K9" i="85"/>
  <c r="E53" i="91" s="1"/>
  <c r="R31" i="89"/>
  <c r="K8" i="85"/>
  <c r="E52" i="91" s="1"/>
  <c r="K57" i="74"/>
  <c r="AC57" s="1"/>
  <c r="AO57" s="1"/>
  <c r="R29" i="89"/>
  <c r="K7" i="85"/>
  <c r="E51" i="91" s="1"/>
  <c r="K56" i="74"/>
  <c r="AC56" s="1"/>
  <c r="AO56" s="1"/>
  <c r="R28" i="89"/>
  <c r="S22" i="24"/>
  <c r="H82" i="74"/>
  <c r="AA82" s="1"/>
  <c r="AM82" s="1"/>
  <c r="H83"/>
  <c r="AA83" s="1"/>
  <c r="AM83" s="1"/>
  <c r="K49"/>
  <c r="AC49" s="1"/>
  <c r="AO49" s="1"/>
  <c r="C185" i="91"/>
  <c r="J10" i="86"/>
  <c r="E65" i="91" s="1"/>
  <c r="U32" i="89"/>
  <c r="K52" i="74"/>
  <c r="AC52" s="1"/>
  <c r="AO52" s="1"/>
  <c r="T52"/>
  <c r="AI52" s="1"/>
  <c r="AU52" s="1"/>
  <c r="T49"/>
  <c r="AI49" s="1"/>
  <c r="AU49" s="1"/>
  <c r="X92" i="89"/>
  <c r="T56" i="74"/>
  <c r="AI56" s="1"/>
  <c r="AU56" s="1"/>
  <c r="N56"/>
  <c r="AE56" s="1"/>
  <c r="AQ56" s="1"/>
  <c r="O7" i="85"/>
  <c r="F51" i="91" s="1"/>
  <c r="G9" i="87"/>
  <c r="N77" i="74"/>
  <c r="AE77" s="1"/>
  <c r="AQ77" s="1"/>
  <c r="AA11" i="83"/>
  <c r="N73" i="74"/>
  <c r="AE73" s="1"/>
  <c r="AQ73" s="1"/>
  <c r="AA7" i="83"/>
  <c r="N76" i="74"/>
  <c r="AE76" s="1"/>
  <c r="AQ76" s="1"/>
  <c r="AA10" i="83"/>
  <c r="N74" i="74"/>
  <c r="AE74" s="1"/>
  <c r="AQ74" s="1"/>
  <c r="AA8" i="83"/>
  <c r="N75" i="74"/>
  <c r="AE75" s="1"/>
  <c r="AQ75" s="1"/>
  <c r="AA9" i="83"/>
  <c r="N78" i="74"/>
  <c r="AE78" s="1"/>
  <c r="AQ78" s="1"/>
  <c r="AA12" i="83"/>
  <c r="M89" i="74"/>
  <c r="AD89" s="1"/>
  <c r="AP89" s="1"/>
  <c r="M91"/>
  <c r="AD91" s="1"/>
  <c r="AP91" s="1"/>
  <c r="K58"/>
  <c r="AC58" s="1"/>
  <c r="AO58" s="1"/>
  <c r="P58"/>
  <c r="AF58" s="1"/>
  <c r="AR58" s="1"/>
  <c r="D59"/>
  <c r="K43" i="88"/>
  <c r="K46"/>
  <c r="P61" i="74"/>
  <c r="AF61" s="1"/>
  <c r="AR61" s="1"/>
  <c r="P56"/>
  <c r="AF56" s="1"/>
  <c r="AR56" s="1"/>
  <c r="P57"/>
  <c r="AF57" s="1"/>
  <c r="AR57" s="1"/>
  <c r="P49"/>
  <c r="AF49" s="1"/>
  <c r="AR49" s="1"/>
  <c r="M52"/>
  <c r="AD52" s="1"/>
  <c r="AP52" s="1"/>
  <c r="M82"/>
  <c r="AD82" s="1"/>
  <c r="AP82" s="1"/>
  <c r="M93"/>
  <c r="AD93" s="1"/>
  <c r="AP93" s="1"/>
  <c r="K30" i="88"/>
  <c r="H61" i="74" s="1"/>
  <c r="AA61" s="1"/>
  <c r="AM61" s="1"/>
  <c r="M61"/>
  <c r="AD61" s="1"/>
  <c r="AP61" s="1"/>
  <c r="S56"/>
  <c r="AH56" s="1"/>
  <c r="AT56" s="1"/>
  <c r="S57"/>
  <c r="AH57" s="1"/>
  <c r="AT57" s="1"/>
  <c r="S49"/>
  <c r="AH49" s="1"/>
  <c r="AT49" s="1"/>
  <c r="S52"/>
  <c r="AH52" s="1"/>
  <c r="AT52" s="1"/>
  <c r="P52"/>
  <c r="AF52" s="1"/>
  <c r="AR52" s="1"/>
  <c r="V52"/>
  <c r="AJ52" s="1"/>
  <c r="AV52" s="1"/>
  <c r="V49"/>
  <c r="AJ49" s="1"/>
  <c r="AV49" s="1"/>
  <c r="S58"/>
  <c r="AH58" s="1"/>
  <c r="AT58" s="1"/>
  <c r="N61"/>
  <c r="AE61" s="1"/>
  <c r="AQ61" s="1"/>
  <c r="X93" i="89"/>
  <c r="N57" i="74"/>
  <c r="AE57" s="1"/>
  <c r="AQ57" s="1"/>
  <c r="R50" i="89"/>
  <c r="X16"/>
  <c r="H15" i="86"/>
  <c r="D88" i="91" s="1"/>
  <c r="X10" i="89"/>
  <c r="H9" i="86"/>
  <c r="D82" i="91" s="1"/>
  <c r="I44" i="88"/>
  <c r="K44"/>
  <c r="K42"/>
  <c r="X8" i="89" s="1"/>
  <c r="L30" i="7"/>
  <c r="N30"/>
  <c r="K32"/>
  <c r="M32"/>
  <c r="O32"/>
  <c r="K30"/>
  <c r="M30"/>
  <c r="O30"/>
  <c r="L32"/>
  <c r="N32"/>
  <c r="M10" i="114"/>
  <c r="H65" i="69" s="1"/>
  <c r="Q12" i="114"/>
  <c r="I67" i="69" s="1"/>
  <c r="I10" i="114"/>
  <c r="G65" i="69" s="1"/>
  <c r="AU47" i="24"/>
  <c r="Q10" i="114"/>
  <c r="I65" i="69" s="1"/>
  <c r="Z49" i="24"/>
  <c r="Z50" s="1"/>
  <c r="AN49"/>
  <c r="M12" i="114"/>
  <c r="H67" i="69" s="1"/>
  <c r="AG49" i="24"/>
  <c r="I12" i="114"/>
  <c r="G67" i="69" s="1"/>
  <c r="H89" i="74"/>
  <c r="AA89" s="1"/>
  <c r="AM89" s="1"/>
  <c r="K92" i="88"/>
  <c r="H91" i="74"/>
  <c r="AA91" s="1"/>
  <c r="AM91" s="1"/>
  <c r="K94" i="88"/>
  <c r="C181" i="91" s="1"/>
  <c r="H93" i="74"/>
  <c r="AA93" s="1"/>
  <c r="AM93" s="1"/>
  <c r="K96" i="88"/>
  <c r="G12" i="85"/>
  <c r="D56" i="91" s="1"/>
  <c r="K9" i="88"/>
  <c r="H49" i="74" s="1"/>
  <c r="AA49" s="1"/>
  <c r="AM49" s="1"/>
  <c r="U44" i="77"/>
  <c r="W44" s="1"/>
  <c r="P10" i="81" s="1"/>
  <c r="F83" i="90" s="1"/>
  <c r="N10" i="81"/>
  <c r="F65" i="90" s="1"/>
  <c r="O28" i="88"/>
  <c r="Q28" s="1"/>
  <c r="K10" i="85" s="1"/>
  <c r="E54" i="91" s="1"/>
  <c r="O44" i="88"/>
  <c r="U28"/>
  <c r="AG28"/>
  <c r="AG44"/>
  <c r="L32" i="86" s="1"/>
  <c r="H83" i="91" s="1"/>
  <c r="M10" i="80"/>
  <c r="F40" i="90" s="1"/>
  <c r="F10" i="81"/>
  <c r="D65" i="90" s="1"/>
  <c r="O32" i="89"/>
  <c r="F10" i="86"/>
  <c r="D65" i="91" s="1"/>
  <c r="U11" i="89"/>
  <c r="R16"/>
  <c r="J59" i="74"/>
  <c r="AB59" s="1"/>
  <c r="AN59" s="1"/>
  <c r="S59"/>
  <c r="AH59" s="1"/>
  <c r="AT59" s="1"/>
  <c r="M83"/>
  <c r="AD83" s="1"/>
  <c r="AP83" s="1"/>
  <c r="M84"/>
  <c r="AD84" s="1"/>
  <c r="AP84" s="1"/>
  <c r="M85"/>
  <c r="AD85" s="1"/>
  <c r="AP85" s="1"/>
  <c r="M20"/>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X95" i="89"/>
  <c r="J20" i="78"/>
  <c r="L98" i="89"/>
  <c r="L35" i="84"/>
  <c r="H29" i="91" s="1"/>
  <c r="K82" i="74"/>
  <c r="AC82" s="1"/>
  <c r="AO82" s="1"/>
  <c r="J17" i="83"/>
  <c r="J19" i="78"/>
  <c r="L14" i="89"/>
  <c r="H13" i="84"/>
  <c r="D29" i="91" s="1"/>
  <c r="J19" i="83"/>
  <c r="N19" s="1"/>
  <c r="H35" i="86"/>
  <c r="G86" i="91" s="1"/>
  <c r="C110" i="90"/>
  <c r="D110"/>
  <c r="C111"/>
  <c r="D11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K83" i="74"/>
  <c r="AC83" s="1"/>
  <c r="AO83" s="1"/>
  <c r="J18" i="83"/>
  <c r="L11" i="89"/>
  <c r="H10" i="84"/>
  <c r="D26" i="91" s="1"/>
  <c r="R11" i="89"/>
  <c r="G10" i="85"/>
  <c r="D54" i="91" s="1"/>
  <c r="P10" i="84"/>
  <c r="F26" i="91" s="1"/>
  <c r="L53" i="89"/>
  <c r="L32"/>
  <c r="L10" i="84"/>
  <c r="E26" i="91" s="1"/>
  <c r="L77" i="89"/>
  <c r="H35" i="84"/>
  <c r="G29" i="91" s="1"/>
  <c r="C179"/>
  <c r="G10" i="87"/>
  <c r="X32" i="89"/>
  <c r="L119"/>
  <c r="P35" i="84"/>
  <c r="I29" i="91" s="1"/>
  <c r="H13" i="86"/>
  <c r="D86" i="91" s="1"/>
  <c r="J17" i="78"/>
  <c r="X116" i="89"/>
  <c r="P32" i="86"/>
  <c r="I83" i="91" s="1"/>
  <c r="G12" i="87"/>
  <c r="AE47" i="24"/>
  <c r="AG47" s="1"/>
  <c r="X49"/>
  <c r="Q47"/>
  <c r="S47" s="1"/>
  <c r="S48" s="1"/>
  <c r="AS47"/>
  <c r="X20" i="74" s="1"/>
  <c r="AL49" i="24"/>
  <c r="V21" i="74" s="1"/>
  <c r="AJ21" s="1"/>
  <c r="AV21" s="1"/>
  <c r="AL47" i="24"/>
  <c r="V20" i="74" s="1"/>
  <c r="AJ20" s="1"/>
  <c r="AV20" s="1"/>
  <c r="AE49" i="24"/>
  <c r="X47"/>
  <c r="Z47" s="1"/>
  <c r="Z48" s="1"/>
  <c r="Q49"/>
  <c r="S49" s="1"/>
  <c r="S50" s="1"/>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AU49" l="1"/>
  <c r="S12" i="114" s="1"/>
  <c r="I99" i="69" s="1"/>
  <c r="T59" i="74"/>
  <c r="AI59" s="1"/>
  <c r="AU59" s="1"/>
  <c r="AI28" i="88"/>
  <c r="R95" i="89" s="1"/>
  <c r="T58" i="74"/>
  <c r="AI58" s="1"/>
  <c r="AU58" s="1"/>
  <c r="K26" i="85"/>
  <c r="H53" i="91" s="1"/>
  <c r="AN47" i="24"/>
  <c r="AN48" s="1"/>
  <c r="N59" i="74"/>
  <c r="AE59" s="1"/>
  <c r="AQ59" s="1"/>
  <c r="N58"/>
  <c r="AE58" s="1"/>
  <c r="AQ58" s="1"/>
  <c r="R52" i="89"/>
  <c r="L10" i="86"/>
  <c r="E83" i="91" s="1"/>
  <c r="K59" i="74"/>
  <c r="AC59" s="1"/>
  <c r="AO59" s="1"/>
  <c r="P59"/>
  <c r="AF59" s="1"/>
  <c r="AR59" s="1"/>
  <c r="H8" i="86"/>
  <c r="D81" i="91" s="1"/>
  <c r="X9" i="89"/>
  <c r="L36" i="7"/>
  <c r="I30" i="112"/>
  <c r="P20" i="74"/>
  <c r="AF20" s="1"/>
  <c r="AR20" s="1"/>
  <c r="P21"/>
  <c r="AF21" s="1"/>
  <c r="AR21" s="1"/>
  <c r="M36" i="7"/>
  <c r="O36"/>
  <c r="L26"/>
  <c r="N26"/>
  <c r="K28"/>
  <c r="M28"/>
  <c r="O28"/>
  <c r="L34"/>
  <c r="N34"/>
  <c r="N36"/>
  <c r="K26"/>
  <c r="M26"/>
  <c r="O26"/>
  <c r="L28"/>
  <c r="N28"/>
  <c r="K34"/>
  <c r="M34"/>
  <c r="O34"/>
  <c r="Z53" i="24"/>
  <c r="O12" i="114"/>
  <c r="H99" i="69" s="1"/>
  <c r="AN50" i="24"/>
  <c r="AU50"/>
  <c r="K12" i="114"/>
  <c r="G99" i="69" s="1"/>
  <c r="AG50" i="24"/>
  <c r="S10" i="114"/>
  <c r="S11" s="1"/>
  <c r="I98" i="69" s="1"/>
  <c r="AU48" i="24"/>
  <c r="O10" i="114"/>
  <c r="O11" s="1"/>
  <c r="H98" i="69" s="1"/>
  <c r="K10" i="114"/>
  <c r="G97" i="69" s="1"/>
  <c r="AG48" i="24"/>
  <c r="AG51"/>
  <c r="K14" i="114" s="1"/>
  <c r="G101" i="69" s="1"/>
  <c r="I14" i="114"/>
  <c r="G69" i="69" s="1"/>
  <c r="M16" i="114"/>
  <c r="H71" i="69" s="1"/>
  <c r="I6" i="114"/>
  <c r="G61" i="69" s="1"/>
  <c r="AU43" i="24"/>
  <c r="Q6" i="114"/>
  <c r="I61" i="69" s="1"/>
  <c r="M8" i="114"/>
  <c r="H63" i="69" s="1"/>
  <c r="Q14" i="114"/>
  <c r="I69" i="69" s="1"/>
  <c r="AG53" i="24"/>
  <c r="K16" i="114" s="1"/>
  <c r="G103" i="69" s="1"/>
  <c r="I16" i="114"/>
  <c r="G71" i="69" s="1"/>
  <c r="Q16" i="114"/>
  <c r="I71" i="69" s="1"/>
  <c r="M6" i="114"/>
  <c r="H61" i="69" s="1"/>
  <c r="I8" i="114"/>
  <c r="G63" i="69" s="1"/>
  <c r="Q8" i="114"/>
  <c r="I63"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O10" i="85"/>
  <c r="F54" i="91" s="1"/>
  <c r="R32" i="89"/>
  <c r="P53" i="24"/>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E43"/>
  <c r="AG43" s="1"/>
  <c r="X45"/>
  <c r="Z45" s="1"/>
  <c r="Q51"/>
  <c r="S51" s="1"/>
  <c r="AS51"/>
  <c r="X22" i="74" s="1"/>
  <c r="X43" i="24"/>
  <c r="Z43" s="1"/>
  <c r="Q45"/>
  <c r="S45" s="1"/>
  <c r="S46" s="1"/>
  <c r="AS45"/>
  <c r="X19" i="74" s="1"/>
  <c r="AL51" i="24"/>
  <c r="V22" i="74" s="1"/>
  <c r="AJ22" s="1"/>
  <c r="AV22" s="1"/>
  <c r="Q43" i="24"/>
  <c r="S43" s="1"/>
  <c r="S44" s="1"/>
  <c r="AL43"/>
  <c r="V18" i="74" s="1"/>
  <c r="AJ18" s="1"/>
  <c r="AV18" s="1"/>
  <c r="AE45" i="24"/>
  <c r="AG45" s="1"/>
  <c r="X51"/>
  <c r="Z51" s="1"/>
  <c r="P22" i="74" s="1"/>
  <c r="AF22" s="1"/>
  <c r="AR22" s="1"/>
  <c r="AQ23" i="24"/>
  <c r="AR23" s="1"/>
  <c r="AS23" s="1"/>
  <c r="AJ23"/>
  <c r="AK23" s="1"/>
  <c r="AL23" s="1"/>
  <c r="AC23"/>
  <c r="AD23" s="1"/>
  <c r="AE23" s="1"/>
  <c r="V23"/>
  <c r="W23" s="1"/>
  <c r="X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J24"/>
  <c r="AC24"/>
  <c r="AD24" s="1"/>
  <c r="V24"/>
  <c r="W24" s="1"/>
  <c r="O24"/>
  <c r="P24" s="1"/>
  <c r="H23" i="10"/>
  <c r="I23" s="1"/>
  <c r="J23" s="1"/>
  <c r="H24"/>
  <c r="I24" s="1"/>
  <c r="D48" i="65"/>
  <c r="D49" s="1"/>
  <c r="L48"/>
  <c r="L49" s="1"/>
  <c r="K48"/>
  <c r="K49" s="1"/>
  <c r="J48"/>
  <c r="J49" s="1"/>
  <c r="I48"/>
  <c r="I49" s="1"/>
  <c r="H48"/>
  <c r="H49" s="1"/>
  <c r="G48"/>
  <c r="G49" s="1"/>
  <c r="F48"/>
  <c r="F49" s="1"/>
  <c r="E48"/>
  <c r="E49" s="1"/>
  <c r="C48"/>
  <c r="C49" s="1"/>
  <c r="B48"/>
  <c r="B49" s="1"/>
  <c r="AU53" i="24" l="1"/>
  <c r="S16" i="114" s="1"/>
  <c r="I103" i="69" s="1"/>
  <c r="AU51" i="24"/>
  <c r="S14" i="114" s="1"/>
  <c r="I101" i="69" s="1"/>
  <c r="AU45" i="24"/>
  <c r="S8" i="114" s="1"/>
  <c r="S9" s="1"/>
  <c r="I96" i="69" s="1"/>
  <c r="K27" i="85"/>
  <c r="H54" i="91" s="1"/>
  <c r="AN53" i="24"/>
  <c r="O16" i="114" s="1"/>
  <c r="H103" i="69" s="1"/>
  <c r="AN51" i="24"/>
  <c r="O14" i="114" s="1"/>
  <c r="H101" i="69" s="1"/>
  <c r="AN45" i="24"/>
  <c r="AN46" s="1"/>
  <c r="AN43"/>
  <c r="AN44" s="1"/>
  <c r="Q23"/>
  <c r="S23" s="1"/>
  <c r="M21" i="7"/>
  <c r="AE24" i="24"/>
  <c r="I24" i="113"/>
  <c r="AG24" i="24"/>
  <c r="K24" i="113" s="1"/>
  <c r="Q24" i="24"/>
  <c r="S24" s="1"/>
  <c r="K21" i="7"/>
  <c r="O21"/>
  <c r="S24" i="113"/>
  <c r="AS24" i="24"/>
  <c r="I16" i="112"/>
  <c r="L21" i="7"/>
  <c r="X24" i="24"/>
  <c r="Z24" s="1"/>
  <c r="N21" i="7"/>
  <c r="AL24" i="24"/>
  <c r="O24" i="113" s="1"/>
  <c r="M24"/>
  <c r="K13" i="114"/>
  <c r="G100" i="69" s="1"/>
  <c r="K36" i="7"/>
  <c r="H30" i="112"/>
  <c r="L3" i="7"/>
  <c r="N3"/>
  <c r="K14"/>
  <c r="O14"/>
  <c r="N17"/>
  <c r="M18"/>
  <c r="L20"/>
  <c r="N20"/>
  <c r="L13"/>
  <c r="N13"/>
  <c r="M14"/>
  <c r="L17"/>
  <c r="K18"/>
  <c r="O18"/>
  <c r="M3"/>
  <c r="O3"/>
  <c r="K13"/>
  <c r="M13"/>
  <c r="O13"/>
  <c r="L14"/>
  <c r="N14"/>
  <c r="K17"/>
  <c r="M17"/>
  <c r="O17"/>
  <c r="L18"/>
  <c r="N18"/>
  <c r="K20"/>
  <c r="M20"/>
  <c r="O20"/>
  <c r="K11" i="114"/>
  <c r="G98" i="69" s="1"/>
  <c r="S13" i="114"/>
  <c r="I100" i="69" s="1"/>
  <c r="O13" i="114"/>
  <c r="H100" i="69" s="1"/>
  <c r="I97"/>
  <c r="S53" i="24"/>
  <c r="H97" i="69"/>
  <c r="AU46" i="24"/>
  <c r="K8" i="114"/>
  <c r="G95" i="69" s="1"/>
  <c r="AG46" i="24"/>
  <c r="P19" i="74"/>
  <c r="AF19" s="1"/>
  <c r="AR19" s="1"/>
  <c r="Z46" i="24"/>
  <c r="O6" i="114"/>
  <c r="O7" s="1"/>
  <c r="H94" i="69" s="1"/>
  <c r="P18" i="74"/>
  <c r="AF18" s="1"/>
  <c r="AR18" s="1"/>
  <c r="Z44" i="24"/>
  <c r="S6" i="114"/>
  <c r="S7" s="1"/>
  <c r="I94" i="69" s="1"/>
  <c r="AU44" i="24"/>
  <c r="K6" i="114"/>
  <c r="K7" s="1"/>
  <c r="G94" i="69" s="1"/>
  <c r="AG44" i="24"/>
  <c r="M16" i="113"/>
  <c r="H15" i="69" s="1"/>
  <c r="I17" i="113"/>
  <c r="G16" i="69" s="1"/>
  <c r="Q17" i="113"/>
  <c r="I16" i="69" s="1"/>
  <c r="AN20" i="24"/>
  <c r="O20" i="113" s="1"/>
  <c r="H53" i="69" s="1"/>
  <c r="M20" i="113"/>
  <c r="H19" i="69" s="1"/>
  <c r="S21" i="24"/>
  <c r="AG21"/>
  <c r="K21" i="113" s="1"/>
  <c r="G54" i="69" s="1"/>
  <c r="I21" i="113"/>
  <c r="G20" i="69" s="1"/>
  <c r="AU21" i="24"/>
  <c r="S21" i="113" s="1"/>
  <c r="I54" i="69" s="1"/>
  <c r="Q21" i="113"/>
  <c r="I20" i="69" s="1"/>
  <c r="M23" i="113"/>
  <c r="H22" i="69" s="1"/>
  <c r="M6" i="113"/>
  <c r="H5" i="69" s="1"/>
  <c r="I6" i="113"/>
  <c r="G5" i="69" s="1"/>
  <c r="Q6" i="113"/>
  <c r="I5" i="69" s="1"/>
  <c r="I16" i="113"/>
  <c r="G15" i="69" s="1"/>
  <c r="Q16" i="113"/>
  <c r="I15" i="69" s="1"/>
  <c r="M17" i="113"/>
  <c r="H16" i="69" s="1"/>
  <c r="AG20" i="24"/>
  <c r="K20" i="113" s="1"/>
  <c r="G53" i="69" s="1"/>
  <c r="I20" i="113"/>
  <c r="G19" i="69" s="1"/>
  <c r="Q20" i="113"/>
  <c r="I19" i="69" s="1"/>
  <c r="Z21" i="24"/>
  <c r="AN21"/>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Q24"/>
  <c r="AG24" s="1"/>
  <c r="AS24" s="1"/>
  <c r="W22"/>
  <c r="AK22" s="1"/>
  <c r="AW22" s="1"/>
  <c r="M9"/>
  <c r="AD9" s="1"/>
  <c r="AP9" s="1"/>
  <c r="J12"/>
  <c r="AB12" s="1"/>
  <c r="AN12" s="1"/>
  <c r="S13"/>
  <c r="AH13" s="1"/>
  <c r="AT13" s="1"/>
  <c r="T24"/>
  <c r="AI24" s="1"/>
  <c r="AU24" s="1"/>
  <c r="M8"/>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AE16"/>
  <c r="AG16" s="1"/>
  <c r="K16" i="113" s="1"/>
  <c r="G49" i="69" s="1"/>
  <c r="X17" i="24"/>
  <c r="O9" i="74" s="1"/>
  <c r="Q20" i="24"/>
  <c r="S20" s="1"/>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X21"/>
  <c r="X15" i="74"/>
  <c r="N6"/>
  <c r="AE6" s="1"/>
  <c r="AQ6" s="1"/>
  <c r="AL16" i="24"/>
  <c r="V8" i="74" s="1"/>
  <c r="AJ8" s="1"/>
  <c r="AV8" s="1"/>
  <c r="AE17" i="24"/>
  <c r="AG17" s="1"/>
  <c r="K17" i="113" s="1"/>
  <c r="G50" i="69" s="1"/>
  <c r="X20" i="24"/>
  <c r="Z20" s="1"/>
  <c r="P12" i="74" s="1"/>
  <c r="AF12" s="1"/>
  <c r="AR12" s="1"/>
  <c r="Q21" i="24"/>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AU20" i="24" l="1"/>
  <c r="S20" i="113" s="1"/>
  <c r="I53" i="69" s="1"/>
  <c r="AU17" i="24"/>
  <c r="S17" i="113" s="1"/>
  <c r="I50" i="69" s="1"/>
  <c r="AU16" i="24"/>
  <c r="S16" i="113" s="1"/>
  <c r="I49" i="69" s="1"/>
  <c r="X6" i="74"/>
  <c r="AU12" i="24"/>
  <c r="O8" i="114"/>
  <c r="O9" s="1"/>
  <c r="H96" i="69" s="1"/>
  <c r="AN17" i="24"/>
  <c r="O17" i="113" s="1"/>
  <c r="H50" i="69" s="1"/>
  <c r="AN16" i="24"/>
  <c r="O16" i="113" s="1"/>
  <c r="H49" i="69" s="1"/>
  <c r="Z17" i="24"/>
  <c r="P9" i="74" s="1"/>
  <c r="AF9" s="1"/>
  <c r="AR9" s="1"/>
  <c r="Z16" i="24"/>
  <c r="P8" i="74" s="1"/>
  <c r="AF8" s="1"/>
  <c r="AR8" s="1"/>
  <c r="S17" i="24"/>
  <c r="S16"/>
  <c r="J24" i="10"/>
  <c r="I24" i="46"/>
  <c r="AU23" i="24"/>
  <c r="S23" i="113" s="1"/>
  <c r="I56" i="69" s="1"/>
  <c r="AN23" i="24"/>
  <c r="O23" i="113" s="1"/>
  <c r="H56" i="69" s="1"/>
  <c r="K9" i="114"/>
  <c r="G96" i="69" s="1"/>
  <c r="I93"/>
  <c r="I95"/>
  <c r="G93"/>
  <c r="H93"/>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N7" i="74"/>
  <c r="AE7" s="1"/>
  <c r="AQ7" s="1"/>
  <c r="X6" i="24"/>
  <c r="Z6" s="1"/>
  <c r="Z7" s="1"/>
  <c r="Z8" s="1"/>
  <c r="Q6"/>
  <c r="S6" s="1"/>
  <c r="S7" s="1"/>
  <c r="S8" s="1"/>
  <c r="AE6"/>
  <c r="AL6"/>
  <c r="C40" i="65"/>
  <c r="C39"/>
  <c r="X7" i="74" l="1"/>
  <c r="AU14" i="24"/>
  <c r="AU13"/>
  <c r="S12" i="113"/>
  <c r="H95" i="69"/>
  <c r="X5" i="74"/>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5" i="7"/>
  <c r="O95" i="24"/>
  <c r="P95" s="1"/>
  <c r="H62" i="112" s="1"/>
  <c r="V95" i="24"/>
  <c r="W95" s="1"/>
  <c r="I62" i="112" s="1"/>
  <c r="AC95" i="24"/>
  <c r="AJ95"/>
  <c r="AQ95"/>
  <c r="H95"/>
  <c r="I95" s="1"/>
  <c r="G62" i="112" s="1"/>
  <c r="AQ95" i="10"/>
  <c r="AR95" s="1"/>
  <c r="AJ95"/>
  <c r="AK95" s="1"/>
  <c r="AC95"/>
  <c r="AD95" s="1"/>
  <c r="V95"/>
  <c r="Y23" i="122" s="1"/>
  <c r="AC23" s="1"/>
  <c r="AE23" s="1"/>
  <c r="O95" i="10"/>
  <c r="Q23" i="122" s="1"/>
  <c r="U23" s="1"/>
  <c r="W23" s="1"/>
  <c r="H95" i="10"/>
  <c r="I95" s="1"/>
  <c r="I23" i="122" s="1"/>
  <c r="M23" s="1"/>
  <c r="O23" s="1"/>
  <c r="I77" i="60"/>
  <c r="I73" i="24"/>
  <c r="I72"/>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AU15" i="24" l="1"/>
  <c r="S14" i="113"/>
  <c r="I45" i="69"/>
  <c r="S13" i="113"/>
  <c r="I46" i="69" s="1"/>
  <c r="Q66" i="120"/>
  <c r="Q65" i="122"/>
  <c r="U65" s="1"/>
  <c r="W65" s="1"/>
  <c r="I66" i="120"/>
  <c r="I65" i="122"/>
  <c r="M65" s="1"/>
  <c r="O65" s="1"/>
  <c r="Y66" i="120"/>
  <c r="Y65" i="122"/>
  <c r="AC65" s="1"/>
  <c r="AE65" s="1"/>
  <c r="I63" i="121"/>
  <c r="I72" i="122"/>
  <c r="K64" i="7"/>
  <c r="AU10" i="24"/>
  <c r="AU11" s="1"/>
  <c r="S9" i="113"/>
  <c r="K6"/>
  <c r="AU7" i="24"/>
  <c r="AU8" s="1"/>
  <c r="S6" i="113"/>
  <c r="AN7" i="24"/>
  <c r="AN8" s="1"/>
  <c r="O6" i="113"/>
  <c r="N64" i="7"/>
  <c r="M23" i="115"/>
  <c r="I73" i="112"/>
  <c r="L64" i="7"/>
  <c r="O64"/>
  <c r="Q23" i="115"/>
  <c r="M64" i="7"/>
  <c r="I23" i="115"/>
  <c r="H73" i="112"/>
  <c r="L65" i="7"/>
  <c r="I74" i="112"/>
  <c r="G73"/>
  <c r="J64" i="7"/>
  <c r="M24" i="115"/>
  <c r="N65" i="7"/>
  <c r="I24" i="115"/>
  <c r="M65" i="7"/>
  <c r="N30" i="74"/>
  <c r="AE30" s="1"/>
  <c r="AQ30" s="1"/>
  <c r="R31"/>
  <c r="Y37" i="58"/>
  <c r="N31" i="74"/>
  <c r="AE31" s="1"/>
  <c r="AQ31" s="1"/>
  <c r="I37" i="114"/>
  <c r="G90" i="69" s="1"/>
  <c r="Q31" i="74"/>
  <c r="AG31" s="1"/>
  <c r="AS31" s="1"/>
  <c r="I72" i="120"/>
  <c r="I36" i="54"/>
  <c r="P30" i="74"/>
  <c r="AF30" s="1"/>
  <c r="AR30" s="1"/>
  <c r="J30"/>
  <c r="AB30" s="1"/>
  <c r="AN30" s="1"/>
  <c r="M31"/>
  <c r="AD31" s="1"/>
  <c r="AP31" s="1"/>
  <c r="G31"/>
  <c r="Z31" s="1"/>
  <c r="AL31" s="1"/>
  <c r="M30"/>
  <c r="AD30" s="1"/>
  <c r="AP30" s="1"/>
  <c r="G30"/>
  <c r="Z30" s="1"/>
  <c r="AL30" s="1"/>
  <c r="P31"/>
  <c r="AF31" s="1"/>
  <c r="AR31" s="1"/>
  <c r="J31"/>
  <c r="AB31" s="1"/>
  <c r="AN31" s="1"/>
  <c r="Q24" i="56"/>
  <c r="M24"/>
  <c r="AS95" i="24"/>
  <c r="AU95" s="1"/>
  <c r="S23" i="115" s="1"/>
  <c r="Q95" i="24"/>
  <c r="S95" s="1"/>
  <c r="J95"/>
  <c r="I23" i="56"/>
  <c r="I37" i="65"/>
  <c r="AE95" i="24"/>
  <c r="AG95" s="1"/>
  <c r="K23" i="115" s="1"/>
  <c r="X95" i="24"/>
  <c r="Z95" s="1"/>
  <c r="Q23" i="56"/>
  <c r="AL95" i="24"/>
  <c r="AN95" s="1"/>
  <c r="O23" i="115" s="1"/>
  <c r="M23" i="56"/>
  <c r="I47" i="69" l="1"/>
  <c r="S15" i="113"/>
  <c r="I48" i="69" s="1"/>
  <c r="I23" i="60"/>
  <c r="J95" i="10"/>
  <c r="L95" s="1"/>
  <c r="AL95"/>
  <c r="AN95" s="1"/>
  <c r="Q68" i="60"/>
  <c r="X95" i="10"/>
  <c r="Z95" s="1"/>
  <c r="Y23" i="60"/>
  <c r="AS95" i="10"/>
  <c r="AU95" s="1"/>
  <c r="Y68" i="60"/>
  <c r="AE95" i="10"/>
  <c r="AG95" s="1"/>
  <c r="I68" i="60"/>
  <c r="Q95" i="10"/>
  <c r="S95" s="1"/>
  <c r="Q23" i="60"/>
  <c r="I42" i="69"/>
  <c r="S10" i="113"/>
  <c r="G39" i="69"/>
  <c r="K7" i="113"/>
  <c r="H39" i="69"/>
  <c r="O7" i="113"/>
  <c r="I39" i="69"/>
  <c r="S7" i="113"/>
  <c r="L95" i="24"/>
  <c r="K23" i="56" s="1"/>
  <c r="S23"/>
  <c r="O23"/>
  <c r="AQ99" i="10"/>
  <c r="AR126" s="1"/>
  <c r="AQ100"/>
  <c r="AR127" s="1"/>
  <c r="AQ99" i="24"/>
  <c r="AQ100"/>
  <c r="S23" i="60" l="1"/>
  <c r="S23" i="122"/>
  <c r="K68" i="60"/>
  <c r="K65" i="122"/>
  <c r="AA68" i="60"/>
  <c r="AA65" i="122"/>
  <c r="AA23" i="60"/>
  <c r="AA23" i="122"/>
  <c r="S68" i="60"/>
  <c r="S65" i="122"/>
  <c r="K23" i="60"/>
  <c r="K23" i="122"/>
  <c r="I43" i="69"/>
  <c r="S11" i="113"/>
  <c r="I44" i="69" s="1"/>
  <c r="G40"/>
  <c r="K8" i="113"/>
  <c r="G41" i="69" s="1"/>
  <c r="S8" i="113"/>
  <c r="I41" i="69" s="1"/>
  <c r="I40"/>
  <c r="H40"/>
  <c r="O8" i="113"/>
  <c r="H41" i="69" s="1"/>
  <c r="AR100" i="24"/>
  <c r="AR99" i="10"/>
  <c r="BG48" i="122" s="1"/>
  <c r="AR100" i="10"/>
  <c r="BG49" i="122" s="1"/>
  <c r="AR99"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Y50" i="121" l="1"/>
  <c r="BG52" i="60"/>
  <c r="Y49" i="121"/>
  <c r="BG51" i="60"/>
  <c r="Q7" i="118"/>
  <c r="AF24" i="119" s="1"/>
  <c r="AR127" i="24"/>
  <c r="Q6" i="118"/>
  <c r="AF23" i="119" s="1"/>
  <c r="AR126" i="24"/>
  <c r="AS100" i="10"/>
  <c r="AU100" s="1"/>
  <c r="BI49" i="122" s="1"/>
  <c r="AS127" i="10"/>
  <c r="AS99"/>
  <c r="AU99" s="1"/>
  <c r="BI48" i="122" s="1"/>
  <c r="AS126" i="10"/>
  <c r="AS99" i="24"/>
  <c r="AU99" s="1"/>
  <c r="AU126" s="1"/>
  <c r="F8" i="65"/>
  <c r="F9" s="1"/>
  <c r="D8"/>
  <c r="D9" s="1"/>
  <c r="H8"/>
  <c r="H9" s="1"/>
  <c r="B8"/>
  <c r="B9" s="1"/>
  <c r="J8"/>
  <c r="J9" s="1"/>
  <c r="AA49" i="121" l="1"/>
  <c r="BI51" i="60"/>
  <c r="AA50" i="121"/>
  <c r="BI52" i="60"/>
  <c r="AS126" i="24"/>
  <c r="O71" i="7"/>
  <c r="AS127" i="24"/>
  <c r="O72" i="7"/>
  <c r="AU126" i="10"/>
  <c r="AU127"/>
  <c r="S6" i="118"/>
  <c r="AG23" i="119" s="1"/>
  <c r="AS100" i="24"/>
  <c r="AU100" s="1"/>
  <c r="AU127" s="1"/>
  <c r="R38" i="7"/>
  <c r="R39" s="1"/>
  <c r="S19" i="61"/>
  <c r="S25"/>
  <c r="O19"/>
  <c r="O25"/>
  <c r="K19"/>
  <c r="K25"/>
  <c r="Q35"/>
  <c r="M35"/>
  <c r="I35"/>
  <c r="Q34"/>
  <c r="M34"/>
  <c r="I34"/>
  <c r="Q33"/>
  <c r="M33"/>
  <c r="I33"/>
  <c r="Q32"/>
  <c r="M32"/>
  <c r="I32"/>
  <c r="Q31"/>
  <c r="M31"/>
  <c r="I31"/>
  <c r="Q30"/>
  <c r="M30"/>
  <c r="I30"/>
  <c r="Q29"/>
  <c r="M29"/>
  <c r="I29"/>
  <c r="Q28"/>
  <c r="M28"/>
  <c r="I28"/>
  <c r="I30" i="62"/>
  <c r="Y69" i="46"/>
  <c r="I24" i="62" s="1"/>
  <c r="Y70" i="46"/>
  <c r="I25" i="62" s="1"/>
  <c r="Y71" i="46"/>
  <c r="I26" i="62" s="1"/>
  <c r="Y72" i="46"/>
  <c r="I27" i="62" s="1"/>
  <c r="I28"/>
  <c r="Y74" i="46"/>
  <c r="I29" i="62" s="1"/>
  <c r="Y75" i="46"/>
  <c r="Y68"/>
  <c r="I23" i="62" s="1"/>
  <c r="H30"/>
  <c r="Q69" i="46"/>
  <c r="H24" i="62" s="1"/>
  <c r="Q70" i="46"/>
  <c r="H25" i="62" s="1"/>
  <c r="Q71" i="46"/>
  <c r="H26" i="62" s="1"/>
  <c r="Q72" i="46"/>
  <c r="H27" i="62" s="1"/>
  <c r="Q73" i="46"/>
  <c r="H28" i="62" s="1"/>
  <c r="Q74" i="46"/>
  <c r="H29" i="62" s="1"/>
  <c r="Q75" i="46"/>
  <c r="Q68"/>
  <c r="H23" i="62" s="1"/>
  <c r="G30"/>
  <c r="I69" i="46"/>
  <c r="G24" i="62" s="1"/>
  <c r="I70" i="46"/>
  <c r="G25" i="62" s="1"/>
  <c r="I71" i="46"/>
  <c r="G26" i="62" s="1"/>
  <c r="I72" i="46"/>
  <c r="G27" i="62" s="1"/>
  <c r="G28"/>
  <c r="I74" i="46"/>
  <c r="G29" i="62" s="1"/>
  <c r="I75" i="46"/>
  <c r="I68"/>
  <c r="G23" i="62" s="1"/>
  <c r="F30"/>
  <c r="Y29" i="46"/>
  <c r="F24" i="62" s="1"/>
  <c r="Y30" i="46"/>
  <c r="F25" i="62" s="1"/>
  <c r="Y31" i="46"/>
  <c r="F26" i="62" s="1"/>
  <c r="Y32" i="46"/>
  <c r="F27" i="62" s="1"/>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G16" i="62"/>
  <c r="Y19" i="46"/>
  <c r="F16" i="62" s="1"/>
  <c r="Q19" i="46"/>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AL23" s="1"/>
  <c r="AN23" s="1"/>
  <c r="M23" i="114" l="1"/>
  <c r="N43" i="7"/>
  <c r="O43"/>
  <c r="X30" i="74"/>
  <c r="U31"/>
  <c r="X31"/>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S30"/>
  <c r="AH30" s="1"/>
  <c r="AT30" s="1"/>
  <c r="AA55" i="58"/>
  <c r="S55"/>
  <c r="K55"/>
  <c r="G104" i="62" l="1"/>
  <c r="H104"/>
  <c r="I104"/>
  <c r="AA17" i="58"/>
  <c r="S17"/>
  <c r="K17"/>
  <c r="D104" i="62" l="1"/>
  <c r="F104"/>
  <c r="E104"/>
  <c r="H195"/>
  <c r="Q75" i="60"/>
  <c r="Q76"/>
  <c r="Q77"/>
  <c r="Q78"/>
  <c r="Q73" i="122" s="1"/>
  <c r="Q80" i="60"/>
  <c r="Q74"/>
  <c r="Q60" i="121" l="1"/>
  <c r="Q69" i="122"/>
  <c r="Q66" i="121"/>
  <c r="Q75" i="122"/>
  <c r="Q63" i="121"/>
  <c r="Q72" i="122"/>
  <c r="Q61" i="121"/>
  <c r="Q70" i="122"/>
  <c r="Q62" i="121"/>
  <c r="Q71" i="122"/>
  <c r="H188" i="62"/>
  <c r="Q69" i="120"/>
  <c r="H192" i="62"/>
  <c r="Q73" i="120"/>
  <c r="H190" i="62"/>
  <c r="Q71" i="120"/>
  <c r="H194" i="62"/>
  <c r="Q75" i="120"/>
  <c r="H191" i="62"/>
  <c r="Q72" i="120"/>
  <c r="H189" i="62"/>
  <c r="Q70" i="120"/>
  <c r="E158" i="69"/>
  <c r="F158"/>
  <c r="D158"/>
  <c r="Y74" i="60"/>
  <c r="Y80"/>
  <c r="Y76"/>
  <c r="Y78"/>
  <c r="Y73" i="122" s="1"/>
  <c r="Y75" i="60"/>
  <c r="Y77"/>
  <c r="S3" i="56"/>
  <c r="Q3" i="117" s="1"/>
  <c r="Y75" i="58"/>
  <c r="I88" i="62" s="1"/>
  <c r="Y74" i="58"/>
  <c r="I87" i="62" s="1"/>
  <c r="Q75" i="58"/>
  <c r="H88" i="62" s="1"/>
  <c r="H87"/>
  <c r="I84"/>
  <c r="Y65" i="58"/>
  <c r="I78" i="62" s="1"/>
  <c r="Y66" i="58"/>
  <c r="I79" i="62" s="1"/>
  <c r="Y67" i="58"/>
  <c r="I80" i="62" s="1"/>
  <c r="Y68" i="58"/>
  <c r="I81" i="62" s="1"/>
  <c r="I82"/>
  <c r="Y70" i="58"/>
  <c r="I83" i="62" s="1"/>
  <c r="H84"/>
  <c r="Q65" i="58"/>
  <c r="H78" i="62" s="1"/>
  <c r="Q66" i="58"/>
  <c r="H79" i="62" s="1"/>
  <c r="Q67" i="58"/>
  <c r="H80" i="62" s="1"/>
  <c r="Q68" i="58"/>
  <c r="H81" i="62" s="1"/>
  <c r="H82"/>
  <c r="Q70" i="58"/>
  <c r="H83" i="62" s="1"/>
  <c r="I77"/>
  <c r="H77"/>
  <c r="S17" i="54"/>
  <c r="S3"/>
  <c r="AQ94" i="24"/>
  <c r="AJ94"/>
  <c r="AQ93"/>
  <c r="AR93" s="1"/>
  <c r="O62" i="7" s="1"/>
  <c r="AJ93" i="24"/>
  <c r="AK93" s="1"/>
  <c r="N62" i="7" s="1"/>
  <c r="AQ91" i="24"/>
  <c r="AR91" s="1"/>
  <c r="AJ91"/>
  <c r="AK91" s="1"/>
  <c r="AQ88"/>
  <c r="AR88" s="1"/>
  <c r="AJ88"/>
  <c r="AK88" s="1"/>
  <c r="AQ87"/>
  <c r="AR87" s="1"/>
  <c r="AJ87"/>
  <c r="AK87" s="1"/>
  <c r="AQ86"/>
  <c r="AR86" s="1"/>
  <c r="AJ86"/>
  <c r="AK86" s="1"/>
  <c r="AQ84"/>
  <c r="AR84" s="1"/>
  <c r="AJ84"/>
  <c r="AK84" s="1"/>
  <c r="AQ82"/>
  <c r="AR82" s="1"/>
  <c r="AJ82"/>
  <c r="AK82" s="1"/>
  <c r="AQ80"/>
  <c r="AR80" s="1"/>
  <c r="AJ80"/>
  <c r="AQ78"/>
  <c r="AR78" s="1"/>
  <c r="AJ78"/>
  <c r="AQ59"/>
  <c r="AJ59"/>
  <c r="AQ58"/>
  <c r="AR58" s="1"/>
  <c r="AS58" s="1"/>
  <c r="AJ58"/>
  <c r="AK58" s="1"/>
  <c r="AL58" s="1"/>
  <c r="AQ57"/>
  <c r="AR57" s="1"/>
  <c r="AJ57"/>
  <c r="AK57" s="1"/>
  <c r="AQ56"/>
  <c r="AR56" s="1"/>
  <c r="AJ56"/>
  <c r="AK56" s="1"/>
  <c r="AQ55"/>
  <c r="AJ55"/>
  <c r="AQ52"/>
  <c r="AR52" s="1"/>
  <c r="AJ52"/>
  <c r="AK52" s="1"/>
  <c r="AQ93" i="10"/>
  <c r="AQ94"/>
  <c r="AR94" s="1"/>
  <c r="Y64" i="122" s="1"/>
  <c r="AC64" s="1"/>
  <c r="AE64" s="1"/>
  <c r="AQ91" i="10"/>
  <c r="AQ80"/>
  <c r="AR80" s="1"/>
  <c r="AQ82"/>
  <c r="AR82" s="1"/>
  <c r="AQ84"/>
  <c r="AR84" s="1"/>
  <c r="AQ86"/>
  <c r="AR86" s="1"/>
  <c r="Y56" i="122" s="1"/>
  <c r="AQ87" i="10"/>
  <c r="AQ88"/>
  <c r="AR88" s="1"/>
  <c r="AQ78"/>
  <c r="AR78" s="1"/>
  <c r="AJ93"/>
  <c r="AJ94"/>
  <c r="AK94" s="1"/>
  <c r="Q64" i="122" s="1"/>
  <c r="U64" s="1"/>
  <c r="W64" s="1"/>
  <c r="AJ91" i="10"/>
  <c r="AK91" s="1"/>
  <c r="AJ80"/>
  <c r="AK80" s="1"/>
  <c r="AJ82"/>
  <c r="AK82" s="1"/>
  <c r="AJ84"/>
  <c r="AK84" s="1"/>
  <c r="AJ86"/>
  <c r="AK86" s="1"/>
  <c r="Q56" i="122" s="1"/>
  <c r="AJ87" i="10"/>
  <c r="AJ88"/>
  <c r="AK88" s="1"/>
  <c r="AJ78"/>
  <c r="AK78" s="1"/>
  <c r="AQ21"/>
  <c r="AR21" s="1"/>
  <c r="AS21" s="1"/>
  <c r="AU21" s="1"/>
  <c r="AQ22"/>
  <c r="AR22" s="1"/>
  <c r="AS22" s="1"/>
  <c r="AU22" s="1"/>
  <c r="AQ23"/>
  <c r="AQ24"/>
  <c r="AQ20"/>
  <c r="AR20" s="1"/>
  <c r="AS20" s="1"/>
  <c r="AU20" s="1"/>
  <c r="AJ21"/>
  <c r="AK21" s="1"/>
  <c r="AL21" s="1"/>
  <c r="AN21" s="1"/>
  <c r="AJ22"/>
  <c r="AK22" s="1"/>
  <c r="AL22" s="1"/>
  <c r="AN22" s="1"/>
  <c r="AJ24"/>
  <c r="AJ20"/>
  <c r="AK20" s="1"/>
  <c r="AL20" s="1"/>
  <c r="AN20" s="1"/>
  <c r="AQ56"/>
  <c r="AR56" s="1"/>
  <c r="AS56" s="1"/>
  <c r="AU56" s="1"/>
  <c r="AQ57"/>
  <c r="AR57" s="1"/>
  <c r="AS57" s="1"/>
  <c r="AU57" s="1"/>
  <c r="AQ59"/>
  <c r="AQ55"/>
  <c r="AR55" s="1"/>
  <c r="AS55" s="1"/>
  <c r="AU55" s="1"/>
  <c r="AJ56"/>
  <c r="AK56" s="1"/>
  <c r="AL56" s="1"/>
  <c r="AN56" s="1"/>
  <c r="AJ57"/>
  <c r="AK57" s="1"/>
  <c r="AL57" s="1"/>
  <c r="AN57" s="1"/>
  <c r="AJ59"/>
  <c r="AJ55"/>
  <c r="AK55" s="1"/>
  <c r="AL55" s="1"/>
  <c r="AN55" s="1"/>
  <c r="AQ45"/>
  <c r="AS45" s="1"/>
  <c r="AU45" s="1"/>
  <c r="AU46" s="1"/>
  <c r="AQ47"/>
  <c r="AR47" s="1"/>
  <c r="AS47" s="1"/>
  <c r="AU47" s="1"/>
  <c r="AU48" s="1"/>
  <c r="AQ49"/>
  <c r="AS49" s="1"/>
  <c r="AU49" s="1"/>
  <c r="AU50" s="1"/>
  <c r="AQ51"/>
  <c r="AR51" s="1"/>
  <c r="AS51" s="1"/>
  <c r="AU51" s="1"/>
  <c r="AQ52"/>
  <c r="AR52" s="1"/>
  <c r="AS52" s="1"/>
  <c r="AU52" s="1"/>
  <c r="AQ53"/>
  <c r="AQ43"/>
  <c r="AS43" s="1"/>
  <c r="AU43" s="1"/>
  <c r="AU44" s="1"/>
  <c r="AJ45"/>
  <c r="AL45" s="1"/>
  <c r="AN45" s="1"/>
  <c r="AN46" s="1"/>
  <c r="AJ47"/>
  <c r="AK47" s="1"/>
  <c r="AL47" s="1"/>
  <c r="AN47" s="1"/>
  <c r="AN48" s="1"/>
  <c r="AJ49"/>
  <c r="AK49" s="1"/>
  <c r="AL49" s="1"/>
  <c r="AN49" s="1"/>
  <c r="AN50" s="1"/>
  <c r="AJ51"/>
  <c r="AK51" s="1"/>
  <c r="AL51" s="1"/>
  <c r="AN51" s="1"/>
  <c r="AJ52"/>
  <c r="AK52" s="1"/>
  <c r="AL52" s="1"/>
  <c r="AN52" s="1"/>
  <c r="AJ53"/>
  <c r="AK53" s="1"/>
  <c r="AJ43"/>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AS23" l="1"/>
  <c r="AU23" s="1"/>
  <c r="AA63" i="46" s="1"/>
  <c r="AR23" i="10"/>
  <c r="Y63" i="46" s="1"/>
  <c r="I20" i="62" s="1"/>
  <c r="AR91" i="10"/>
  <c r="AS91" s="1"/>
  <c r="AU91" s="1"/>
  <c r="AA61" i="120" s="1"/>
  <c r="O60" i="7"/>
  <c r="N60"/>
  <c r="Q61" i="120"/>
  <c r="U61" s="1"/>
  <c r="W61" s="1"/>
  <c r="AK93" i="10"/>
  <c r="AL93" s="1"/>
  <c r="AN93" s="1"/>
  <c r="AR93"/>
  <c r="AS93" s="1"/>
  <c r="AU93" s="1"/>
  <c r="AA63" i="122" s="1"/>
  <c r="Q21" i="115"/>
  <c r="AS93" i="24"/>
  <c r="AL91"/>
  <c r="M21" i="115"/>
  <c r="AL93" i="24"/>
  <c r="Q45" i="121"/>
  <c r="Q52" i="122"/>
  <c r="Y41" i="121"/>
  <c r="Y48" i="122"/>
  <c r="Y47" i="121"/>
  <c r="Y54" i="122"/>
  <c r="Y43" i="121"/>
  <c r="Y50" i="122"/>
  <c r="Q41" i="121"/>
  <c r="Q48" i="122"/>
  <c r="Q47" i="121"/>
  <c r="Q54" i="122"/>
  <c r="Q43" i="121"/>
  <c r="Q50" i="122"/>
  <c r="Y45" i="121"/>
  <c r="Y52" i="122"/>
  <c r="Q61" i="60"/>
  <c r="H179" i="62" s="1"/>
  <c r="Q58" i="122"/>
  <c r="Y61" i="60"/>
  <c r="I179" i="62" s="1"/>
  <c r="Y58" i="122"/>
  <c r="Q56" i="121"/>
  <c r="U56" s="1"/>
  <c r="W56" s="1"/>
  <c r="Y63"/>
  <c r="Y72" i="122"/>
  <c r="Y66" i="121"/>
  <c r="Y75" i="122"/>
  <c r="Y61" i="121"/>
  <c r="Y70" i="122"/>
  <c r="Y62" i="121"/>
  <c r="Y71" i="122"/>
  <c r="Y60" i="121"/>
  <c r="Y69" i="122"/>
  <c r="AS53" i="10"/>
  <c r="AU53" s="1"/>
  <c r="AA23" i="120" s="1"/>
  <c r="Y23"/>
  <c r="AS94" i="10"/>
  <c r="AU94" s="1"/>
  <c r="Y65" i="120"/>
  <c r="AL53" i="10"/>
  <c r="AN53" s="1"/>
  <c r="S23" i="120" s="1"/>
  <c r="Q23"/>
  <c r="AL94" i="10"/>
  <c r="AN94" s="1"/>
  <c r="Q65" i="120"/>
  <c r="AR94" i="24"/>
  <c r="AS94" s="1"/>
  <c r="AK94"/>
  <c r="AL94" s="1"/>
  <c r="Y54" i="121"/>
  <c r="AC54" s="1"/>
  <c r="AE54" s="1"/>
  <c r="Y56"/>
  <c r="AC56" s="1"/>
  <c r="AE56" s="1"/>
  <c r="N35" i="7"/>
  <c r="N39"/>
  <c r="N40"/>
  <c r="N41"/>
  <c r="M22" i="114"/>
  <c r="N42" i="7"/>
  <c r="N51"/>
  <c r="N53"/>
  <c r="N55"/>
  <c r="N56"/>
  <c r="N57"/>
  <c r="O35"/>
  <c r="O39"/>
  <c r="O40"/>
  <c r="O41"/>
  <c r="O42"/>
  <c r="O47"/>
  <c r="O49"/>
  <c r="O51"/>
  <c r="O53"/>
  <c r="O55"/>
  <c r="O56"/>
  <c r="O57"/>
  <c r="AL88" i="10"/>
  <c r="AN88" s="1"/>
  <c r="Q59" i="60"/>
  <c r="H177" i="62" s="1"/>
  <c r="Q56" i="120"/>
  <c r="AL82" i="10"/>
  <c r="AN82" s="1"/>
  <c r="S52" i="122" s="1"/>
  <c r="S53" s="1"/>
  <c r="Q52" i="120"/>
  <c r="AS78" i="10"/>
  <c r="AU78" s="1"/>
  <c r="Y48" i="120"/>
  <c r="AS84" i="10"/>
  <c r="AU84" s="1"/>
  <c r="AA54" i="122" s="1"/>
  <c r="AA55" s="1"/>
  <c r="Y54" i="120"/>
  <c r="AS80" i="10"/>
  <c r="AU80" s="1"/>
  <c r="Y50" i="120"/>
  <c r="Y64"/>
  <c r="AC64" s="1"/>
  <c r="AE64" s="1"/>
  <c r="AL78" i="10"/>
  <c r="AN78" s="1"/>
  <c r="S48" i="122" s="1"/>
  <c r="S49" s="1"/>
  <c r="Q48" i="120"/>
  <c r="AL84" i="10"/>
  <c r="AN84" s="1"/>
  <c r="S54" i="122" s="1"/>
  <c r="S55" s="1"/>
  <c r="Q54" i="120"/>
  <c r="AL80" i="10"/>
  <c r="AN80" s="1"/>
  <c r="S50" i="122" s="1"/>
  <c r="S51" s="1"/>
  <c r="Q50" i="120"/>
  <c r="Q64"/>
  <c r="U64" s="1"/>
  <c r="W64" s="1"/>
  <c r="Q66" i="60"/>
  <c r="H184" i="62" s="1"/>
  <c r="Q63" i="120"/>
  <c r="U63" s="1"/>
  <c r="W63" s="1"/>
  <c r="AS88" i="10"/>
  <c r="AU88" s="1"/>
  <c r="Y59" i="60"/>
  <c r="I177" i="62" s="1"/>
  <c r="Y56" i="120"/>
  <c r="AS82" i="10"/>
  <c r="AU82" s="1"/>
  <c r="AA52" i="122" s="1"/>
  <c r="AA53" s="1"/>
  <c r="Y52" i="120"/>
  <c r="Q15" i="114"/>
  <c r="I70" i="69" s="1"/>
  <c r="AU56" i="24"/>
  <c r="S19" i="114" s="1"/>
  <c r="I106" i="69" s="1"/>
  <c r="Q19" i="114"/>
  <c r="I74" i="69" s="1"/>
  <c r="AU57" i="24"/>
  <c r="S20" i="114" s="1"/>
  <c r="I107" i="69" s="1"/>
  <c r="Q20" i="114"/>
  <c r="I75" i="69" s="1"/>
  <c r="Q21" i="114"/>
  <c r="I76" i="69" s="1"/>
  <c r="AU78" i="24"/>
  <c r="Q6" i="115"/>
  <c r="AF6" i="119" s="1"/>
  <c r="AU80" i="24"/>
  <c r="Q8" i="115"/>
  <c r="AF8" i="119" s="1"/>
  <c r="AU82" i="24"/>
  <c r="Q10" i="115"/>
  <c r="AF10" i="119" s="1"/>
  <c r="AU84" i="24"/>
  <c r="Q12" i="115"/>
  <c r="AF12" i="119" s="1"/>
  <c r="AU86" i="24"/>
  <c r="S14" i="115" s="1"/>
  <c r="Q14"/>
  <c r="AU87" i="24"/>
  <c r="S15" i="115" s="1"/>
  <c r="Q15"/>
  <c r="AU88" i="24"/>
  <c r="S16" i="115" s="1"/>
  <c r="Q16"/>
  <c r="AF18" i="119"/>
  <c r="AF19"/>
  <c r="AF20"/>
  <c r="AU94" i="24"/>
  <c r="S22" i="115" s="1"/>
  <c r="AG21" i="119" s="1"/>
  <c r="Y70" i="120"/>
  <c r="Y71"/>
  <c r="Y69"/>
  <c r="AN52" i="24"/>
  <c r="O15" i="114" s="1"/>
  <c r="H102" i="69" s="1"/>
  <c r="M15" i="114"/>
  <c r="H70" i="69" s="1"/>
  <c r="AN56" i="24"/>
  <c r="O19" i="114" s="1"/>
  <c r="H106" i="69" s="1"/>
  <c r="M19" i="114"/>
  <c r="H74" i="69" s="1"/>
  <c r="AN57" i="24"/>
  <c r="O20" i="114" s="1"/>
  <c r="H107" i="69" s="1"/>
  <c r="M20" i="114"/>
  <c r="H75" i="69" s="1"/>
  <c r="M21" i="114"/>
  <c r="H76" i="69" s="1"/>
  <c r="AN82" i="24"/>
  <c r="M10" i="115"/>
  <c r="AN84" i="24"/>
  <c r="M12" i="115"/>
  <c r="AN86" i="24"/>
  <c r="O14" i="115" s="1"/>
  <c r="M14"/>
  <c r="AN87" i="24"/>
  <c r="O15" i="115" s="1"/>
  <c r="M15"/>
  <c r="AN88" i="24"/>
  <c r="O16" i="115" s="1"/>
  <c r="M16"/>
  <c r="M22"/>
  <c r="Y72" i="120"/>
  <c r="I192" i="62"/>
  <c r="Y73" i="120"/>
  <c r="Y75"/>
  <c r="AL82" i="24"/>
  <c r="U34" i="74" s="1"/>
  <c r="AL84" i="24"/>
  <c r="U35" i="74" s="1"/>
  <c r="AL86" i="24"/>
  <c r="U36" i="74" s="1"/>
  <c r="AL88" i="24"/>
  <c r="U38" i="74" s="1"/>
  <c r="U40"/>
  <c r="U41"/>
  <c r="U42"/>
  <c r="U43"/>
  <c r="AS82" i="24"/>
  <c r="X34" i="74" s="1"/>
  <c r="AS84" i="24"/>
  <c r="X35" i="74" s="1"/>
  <c r="AS86" i="24"/>
  <c r="X36" i="74" s="1"/>
  <c r="AS88" i="24"/>
  <c r="X38" i="74" s="1"/>
  <c r="X40"/>
  <c r="X41"/>
  <c r="X42"/>
  <c r="X43"/>
  <c r="AR87" i="10"/>
  <c r="Y57" i="122" s="1"/>
  <c r="AK87" i="10"/>
  <c r="Q57" i="122" s="1"/>
  <c r="V42" i="74"/>
  <c r="AJ42" s="1"/>
  <c r="AV42" s="1"/>
  <c r="V41"/>
  <c r="AJ41" s="1"/>
  <c r="AV41" s="1"/>
  <c r="Q53" i="60"/>
  <c r="H170" i="62" s="1"/>
  <c r="AL59" i="24"/>
  <c r="O22" i="114" s="1"/>
  <c r="AS59" i="24"/>
  <c r="S22" i="114" s="1"/>
  <c r="AL14" i="10"/>
  <c r="AN14" s="1"/>
  <c r="AS12"/>
  <c r="AU12" s="1"/>
  <c r="AL12"/>
  <c r="AN12" s="1"/>
  <c r="AR14"/>
  <c r="AS14" s="1"/>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K80" i="24"/>
  <c r="AK78"/>
  <c r="AR55"/>
  <c r="AK55"/>
  <c r="I188" i="62"/>
  <c r="I190"/>
  <c r="I189"/>
  <c r="I195"/>
  <c r="AS78" i="24"/>
  <c r="X32" i="74" s="1"/>
  <c r="AS80" i="24"/>
  <c r="X33" i="74" s="1"/>
  <c r="Y67" i="60"/>
  <c r="I185" i="62" s="1"/>
  <c r="I191"/>
  <c r="I194"/>
  <c r="Y64" i="60"/>
  <c r="I182" i="62" s="1"/>
  <c r="Y66" i="60"/>
  <c r="I184"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5" i="60"/>
  <c r="Y55"/>
  <c r="Y53"/>
  <c r="Q51"/>
  <c r="H167" i="62" s="1"/>
  <c r="Q57" i="60"/>
  <c r="Y51"/>
  <c r="Y57"/>
  <c r="AL86" i="10"/>
  <c r="AN86" s="1"/>
  <c r="S56" i="122" s="1"/>
  <c r="S63"/>
  <c r="AS86" i="10"/>
  <c r="AU86" s="1"/>
  <c r="AA56" i="122"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AA54" i="58" l="1"/>
  <c r="AU52" i="24"/>
  <c r="S15" i="114" s="1"/>
  <c r="I102" i="69" s="1"/>
  <c r="Y61" i="120"/>
  <c r="AC61" s="1"/>
  <c r="AE61" s="1"/>
  <c r="Y63"/>
  <c r="AC63" s="1"/>
  <c r="AE63" s="1"/>
  <c r="M19" i="115"/>
  <c r="H127" i="69" s="1"/>
  <c r="AS91" i="24"/>
  <c r="AA61" i="122"/>
  <c r="Q19" i="115"/>
  <c r="I127" i="69" s="1"/>
  <c r="AL91" i="10"/>
  <c r="AN91" s="1"/>
  <c r="S61" i="120" s="1"/>
  <c r="H175" i="62"/>
  <c r="H173"/>
  <c r="Y63" i="122"/>
  <c r="AC63" s="1"/>
  <c r="AE63" s="1"/>
  <c r="Y61"/>
  <c r="AC61" s="1"/>
  <c r="AE61" s="1"/>
  <c r="Q63"/>
  <c r="U63" s="1"/>
  <c r="W63" s="1"/>
  <c r="Q54" i="121"/>
  <c r="U54" s="1"/>
  <c r="W54" s="1"/>
  <c r="Q61" i="122"/>
  <c r="U61" s="1"/>
  <c r="W61" s="1"/>
  <c r="Q64" i="60"/>
  <c r="H182" i="62" s="1"/>
  <c r="S56" i="121"/>
  <c r="AA61" i="60"/>
  <c r="I214" i="62" s="1"/>
  <c r="AA58" i="122"/>
  <c r="AA43" i="121"/>
  <c r="AA44" s="1"/>
  <c r="AA50" i="122"/>
  <c r="AA51" s="1"/>
  <c r="AA41" i="121"/>
  <c r="AA42" s="1"/>
  <c r="AA48" i="122"/>
  <c r="AA49" s="1"/>
  <c r="S65" i="120"/>
  <c r="S64" i="122"/>
  <c r="AA65" i="120"/>
  <c r="AA64" i="122"/>
  <c r="S61" i="60"/>
  <c r="H214" i="62" s="1"/>
  <c r="S58" i="122"/>
  <c r="S54" i="58"/>
  <c r="H103" i="62" s="1"/>
  <c r="AN91" i="24"/>
  <c r="AU91"/>
  <c r="AN93"/>
  <c r="AU93"/>
  <c r="AS59" i="10"/>
  <c r="Y60" i="58"/>
  <c r="AL59" i="10"/>
  <c r="Q60" i="58"/>
  <c r="AS24" i="10"/>
  <c r="AA64" i="46" s="1"/>
  <c r="Y64"/>
  <c r="AL24" i="10"/>
  <c r="S64" i="46" s="1"/>
  <c r="Q64"/>
  <c r="AN94" i="24"/>
  <c r="O22" i="115" s="1"/>
  <c r="H163" i="69" s="1"/>
  <c r="Q22" i="115"/>
  <c r="AF21" i="119" s="1"/>
  <c r="O63" i="7"/>
  <c r="N63"/>
  <c r="AU58" i="24"/>
  <c r="S21" i="114" s="1"/>
  <c r="I108" i="69" s="1"/>
  <c r="AN58" i="24"/>
  <c r="O21" i="114" s="1"/>
  <c r="H108" i="69" s="1"/>
  <c r="Q57" i="121"/>
  <c r="U57" s="1"/>
  <c r="W57" s="1"/>
  <c r="Y57"/>
  <c r="AC57" s="1"/>
  <c r="AE57" s="1"/>
  <c r="AA63" i="120"/>
  <c r="AA56" i="121"/>
  <c r="AA52" i="120"/>
  <c r="AA53" s="1"/>
  <c r="AA45" i="121"/>
  <c r="AA46" s="1"/>
  <c r="S64" i="120"/>
  <c r="S57" i="121"/>
  <c r="S53" i="60"/>
  <c r="S54" s="1"/>
  <c r="H206" i="62" s="1"/>
  <c r="S43" i="121"/>
  <c r="S44" s="1"/>
  <c r="S54" i="120"/>
  <c r="S55" s="1"/>
  <c r="S47" i="121"/>
  <c r="S48" s="1"/>
  <c r="S51" i="60"/>
  <c r="S52" s="1"/>
  <c r="H203" i="62" s="1"/>
  <c r="S41" i="121"/>
  <c r="S42" s="1"/>
  <c r="AA64" i="120"/>
  <c r="AA57" i="121"/>
  <c r="AA54" i="120"/>
  <c r="AA55" s="1"/>
  <c r="AA47" i="121"/>
  <c r="AA48" s="1"/>
  <c r="S52" i="120"/>
  <c r="S53" s="1"/>
  <c r="S45" i="121"/>
  <c r="S46" s="1"/>
  <c r="AA54"/>
  <c r="S57" i="60"/>
  <c r="S58" s="1"/>
  <c r="H211" i="62" s="1"/>
  <c r="V35" i="74"/>
  <c r="AJ35" s="1"/>
  <c r="AV35" s="1"/>
  <c r="N38" i="7"/>
  <c r="N47"/>
  <c r="N49"/>
  <c r="O38"/>
  <c r="S67" i="60"/>
  <c r="H220" i="62" s="1"/>
  <c r="V34" i="74"/>
  <c r="AJ34" s="1"/>
  <c r="AV34" s="1"/>
  <c r="V36"/>
  <c r="AJ36" s="1"/>
  <c r="AV36" s="1"/>
  <c r="V40"/>
  <c r="AJ40" s="1"/>
  <c r="AV40" s="1"/>
  <c r="V38"/>
  <c r="AJ38" s="1"/>
  <c r="AV38" s="1"/>
  <c r="S50" i="120"/>
  <c r="S51" s="1"/>
  <c r="AN81" i="10"/>
  <c r="AA50" i="120"/>
  <c r="AA51" s="1"/>
  <c r="AU81" i="10"/>
  <c r="S48" i="120"/>
  <c r="S49" s="1"/>
  <c r="AN79" i="10"/>
  <c r="AA48" i="120"/>
  <c r="AA49" s="1"/>
  <c r="AU79" i="10"/>
  <c r="O12" i="115"/>
  <c r="AB12" i="119" s="1"/>
  <c r="AN85" i="24"/>
  <c r="S12" i="115"/>
  <c r="AG12" i="119" s="1"/>
  <c r="AU85" i="24"/>
  <c r="O10" i="115"/>
  <c r="AB10" i="119" s="1"/>
  <c r="AN83" i="24"/>
  <c r="S10" i="115"/>
  <c r="AG10" i="119" s="1"/>
  <c r="AU83" i="24"/>
  <c r="S8" i="115"/>
  <c r="AG8" i="119" s="1"/>
  <c r="AU81" i="24"/>
  <c r="S6" i="115"/>
  <c r="AG6" i="119" s="1"/>
  <c r="AU79" i="24"/>
  <c r="AA52" i="46"/>
  <c r="AA53" s="1"/>
  <c r="I42" i="62" s="1"/>
  <c r="AU13" i="10"/>
  <c r="S52" i="46"/>
  <c r="S53" s="1"/>
  <c r="H42" i="62" s="1"/>
  <c r="AN13" i="10"/>
  <c r="AA54" i="46"/>
  <c r="AA55" s="1"/>
  <c r="AU15" i="10"/>
  <c r="S54" i="46"/>
  <c r="S55" s="1"/>
  <c r="AN15" i="10"/>
  <c r="AA20" i="119"/>
  <c r="H162" i="69"/>
  <c r="AA18" i="119"/>
  <c r="H157" i="69"/>
  <c r="AB16" i="119"/>
  <c r="H156" i="69"/>
  <c r="AB15" i="119"/>
  <c r="H155" i="69"/>
  <c r="AB14" i="119"/>
  <c r="I157" i="69"/>
  <c r="AG16" i="119"/>
  <c r="I156" i="69"/>
  <c r="AG15" i="119"/>
  <c r="I155" i="69"/>
  <c r="AG14" i="119"/>
  <c r="H130" i="69"/>
  <c r="AA21" i="119"/>
  <c r="H129" i="69"/>
  <c r="AA19" i="119"/>
  <c r="H124" i="69"/>
  <c r="AA16" i="119"/>
  <c r="H123" i="69"/>
  <c r="AA15" i="119"/>
  <c r="H122" i="69"/>
  <c r="AA14" i="119"/>
  <c r="H120" i="69"/>
  <c r="AA12" i="119"/>
  <c r="H118" i="69"/>
  <c r="AA10" i="119"/>
  <c r="I124" i="69"/>
  <c r="AF16" i="119"/>
  <c r="I123" i="69"/>
  <c r="AF15" i="119"/>
  <c r="I122" i="69"/>
  <c r="AF14" i="119"/>
  <c r="S55" i="60"/>
  <c r="S56" s="1"/>
  <c r="H209" i="62" s="1"/>
  <c r="AS87" i="10"/>
  <c r="AU87" s="1"/>
  <c r="AA57" i="122" s="1"/>
  <c r="Y57" i="120"/>
  <c r="AL87" i="10"/>
  <c r="AN87" s="1"/>
  <c r="S57" i="122" s="1"/>
  <c r="Q57" i="120"/>
  <c r="S59" i="60"/>
  <c r="H212" i="62" s="1"/>
  <c r="S56" i="120"/>
  <c r="AN55" i="24"/>
  <c r="O18" i="114" s="1"/>
  <c r="H105" i="69" s="1"/>
  <c r="M18" i="114"/>
  <c r="H73" i="69" s="1"/>
  <c r="AN78" i="24"/>
  <c r="M6" i="115"/>
  <c r="AN80" i="24"/>
  <c r="M8" i="115"/>
  <c r="I163" i="69"/>
  <c r="I114"/>
  <c r="S66" i="60"/>
  <c r="H219" i="62" s="1"/>
  <c r="S63" i="120"/>
  <c r="AA59" i="60"/>
  <c r="I212" i="62" s="1"/>
  <c r="AA56" i="120"/>
  <c r="AU55" i="24"/>
  <c r="S18" i="114" s="1"/>
  <c r="I105" i="69" s="1"/>
  <c r="Q18" i="114"/>
  <c r="I73" i="69" s="1"/>
  <c r="I129"/>
  <c r="I120"/>
  <c r="I118"/>
  <c r="I116"/>
  <c r="T29" i="74"/>
  <c r="AI29" s="1"/>
  <c r="AU29" s="1"/>
  <c r="U29"/>
  <c r="T23"/>
  <c r="AI23" s="1"/>
  <c r="AU23" s="1"/>
  <c r="U23"/>
  <c r="T37"/>
  <c r="AI37" s="1"/>
  <c r="AU37" s="1"/>
  <c r="U37"/>
  <c r="T27"/>
  <c r="AI27" s="1"/>
  <c r="AU27" s="1"/>
  <c r="U27"/>
  <c r="T28"/>
  <c r="AI28" s="1"/>
  <c r="AU28" s="1"/>
  <c r="U28"/>
  <c r="Y54" i="46"/>
  <c r="I11" i="62" s="1"/>
  <c r="Y60" i="60"/>
  <c r="I178" i="62" s="1"/>
  <c r="Q54" i="46"/>
  <c r="H11" i="62" s="1"/>
  <c r="Q60"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7" i="60"/>
  <c r="H185" i="62" s="1"/>
  <c r="I39"/>
  <c r="I40"/>
  <c r="H39"/>
  <c r="H40"/>
  <c r="I37"/>
  <c r="I38"/>
  <c r="H37"/>
  <c r="H38"/>
  <c r="AA53" i="60"/>
  <c r="AA54" s="1"/>
  <c r="AA57"/>
  <c r="AA58" s="1"/>
  <c r="AA55"/>
  <c r="AA56" s="1"/>
  <c r="AA64"/>
  <c r="I217" i="62" s="1"/>
  <c r="AA66" i="60"/>
  <c r="AA67"/>
  <c r="AA51"/>
  <c r="AA52" s="1"/>
  <c r="I167" i="62"/>
  <c r="I170"/>
  <c r="I175"/>
  <c r="I173"/>
  <c r="I50"/>
  <c r="H101"/>
  <c r="I103"/>
  <c r="I46"/>
  <c r="I101"/>
  <c r="H102"/>
  <c r="H105"/>
  <c r="I102"/>
  <c r="H108"/>
  <c r="H46"/>
  <c r="H107"/>
  <c r="I106"/>
  <c r="H47"/>
  <c r="H51"/>
  <c r="I51"/>
  <c r="I47"/>
  <c r="I108"/>
  <c r="H106"/>
  <c r="I107"/>
  <c r="I105"/>
  <c r="H52"/>
  <c r="I52"/>
  <c r="H50"/>
  <c r="H49"/>
  <c r="I49"/>
  <c r="AB21" i="119" l="1"/>
  <c r="S64" i="60"/>
  <c r="H217" i="62" s="1"/>
  <c r="S61" i="122"/>
  <c r="AG19" i="119"/>
  <c r="S21" i="115"/>
  <c r="AG18" i="119"/>
  <c r="S19" i="115"/>
  <c r="I160" i="69" s="1"/>
  <c r="O19" i="115"/>
  <c r="H160" i="69" s="1"/>
  <c r="AB19" i="119"/>
  <c r="O21" i="115"/>
  <c r="S54" i="121"/>
  <c r="AB18" i="119"/>
  <c r="I130" i="69"/>
  <c r="S13" i="115"/>
  <c r="AG13" i="119" s="1"/>
  <c r="I162" i="69"/>
  <c r="H43" i="62"/>
  <c r="S7" i="115"/>
  <c r="AG7" i="119" s="1"/>
  <c r="H202" i="62"/>
  <c r="H205"/>
  <c r="H210"/>
  <c r="S60" i="60"/>
  <c r="H213" i="62" s="1"/>
  <c r="AA60" i="60"/>
  <c r="I213" i="62" s="1"/>
  <c r="I151" i="69"/>
  <c r="I41" i="62"/>
  <c r="O11" i="115"/>
  <c r="H152" i="69" s="1"/>
  <c r="I149"/>
  <c r="S9" i="115"/>
  <c r="AG9" i="119" s="1"/>
  <c r="I153" i="69"/>
  <c r="O13" i="115"/>
  <c r="H154" i="69" s="1"/>
  <c r="I43" i="62"/>
  <c r="H41"/>
  <c r="H153" i="69"/>
  <c r="H151"/>
  <c r="S11" i="115"/>
  <c r="AG11" i="119" s="1"/>
  <c r="AN81" i="24"/>
  <c r="AN79"/>
  <c r="I147" i="69"/>
  <c r="H116"/>
  <c r="AA8" i="119"/>
  <c r="H114" i="69"/>
  <c r="AA6" i="119"/>
  <c r="S57" i="120"/>
  <c r="H208" i="62"/>
  <c r="AA57" i="120"/>
  <c r="O6" i="115"/>
  <c r="AB6" i="119" s="1"/>
  <c r="V32" i="74"/>
  <c r="AJ32" s="1"/>
  <c r="AV32" s="1"/>
  <c r="O8" i="115"/>
  <c r="AB8" i="119" s="1"/>
  <c r="V33" i="74"/>
  <c r="AJ33" s="1"/>
  <c r="AV33" s="1"/>
  <c r="I148" i="69"/>
  <c r="I154"/>
  <c r="T26" i="74"/>
  <c r="AI26" s="1"/>
  <c r="AU26" s="1"/>
  <c r="U26"/>
  <c r="I205" i="62"/>
  <c r="I206"/>
  <c r="W26" i="74"/>
  <c r="AK26" s="1"/>
  <c r="AW26" s="1"/>
  <c r="W43"/>
  <c r="AK43" s="1"/>
  <c r="AW43" s="1"/>
  <c r="T32"/>
  <c r="AI32" s="1"/>
  <c r="AU32" s="1"/>
  <c r="T33"/>
  <c r="AI33" s="1"/>
  <c r="AU33" s="1"/>
  <c r="W34"/>
  <c r="AK34" s="1"/>
  <c r="AW34" s="1"/>
  <c r="W35"/>
  <c r="AK35" s="1"/>
  <c r="AW35" s="1"/>
  <c r="I203" i="62"/>
  <c r="I219"/>
  <c r="I210"/>
  <c r="I220"/>
  <c r="I202"/>
  <c r="I208"/>
  <c r="I209"/>
  <c r="I211"/>
  <c r="H93"/>
  <c r="H92"/>
  <c r="H44"/>
  <c r="I93"/>
  <c r="I92"/>
  <c r="I96"/>
  <c r="I95"/>
  <c r="H96"/>
  <c r="H95"/>
  <c r="I44"/>
  <c r="H207"/>
  <c r="H204"/>
  <c r="AB20" i="119" l="1"/>
  <c r="AG20"/>
  <c r="I150" i="69"/>
  <c r="I152"/>
  <c r="AB11" i="119"/>
  <c r="H149" i="69"/>
  <c r="H147"/>
  <c r="AB13" i="119"/>
  <c r="O9" i="115"/>
  <c r="H150" i="69" s="1"/>
  <c r="O7" i="115"/>
  <c r="H148" i="69" s="1"/>
  <c r="I207" i="62"/>
  <c r="I204"/>
  <c r="D30"/>
  <c r="I29" i="46"/>
  <c r="D24" i="62" s="1"/>
  <c r="I30" i="46"/>
  <c r="D25" i="62" s="1"/>
  <c r="I31" i="46"/>
  <c r="D26" i="62" s="1"/>
  <c r="I32" i="46"/>
  <c r="D27" i="62" s="1"/>
  <c r="I33" i="46"/>
  <c r="D28" i="62" s="1"/>
  <c r="I34" i="46"/>
  <c r="D29" i="62" s="1"/>
  <c r="I35" i="46"/>
  <c r="I28"/>
  <c r="D23" i="62" s="1"/>
  <c r="K19" i="46"/>
  <c r="AB9" i="119" l="1"/>
  <c r="AB7"/>
  <c r="D48" i="62"/>
  <c r="O78" i="10" l="1"/>
  <c r="P78" s="1"/>
  <c r="Q6" i="122" s="1"/>
  <c r="H43" i="24"/>
  <c r="I43" s="1"/>
  <c r="J26" i="7" s="1"/>
  <c r="H45" i="24"/>
  <c r="I45" s="1"/>
  <c r="J28" i="7" s="1"/>
  <c r="H47" i="24"/>
  <c r="I47" s="1"/>
  <c r="J30" i="7" s="1"/>
  <c r="H49" i="24"/>
  <c r="I49" s="1"/>
  <c r="J32" i="7" s="1"/>
  <c r="Q6" i="121" l="1"/>
  <c r="Q78" i="10"/>
  <c r="S78" s="1"/>
  <c r="S6" i="122" s="1"/>
  <c r="S7" s="1"/>
  <c r="Q6" i="120"/>
  <c r="G18" i="74"/>
  <c r="Z18" s="1"/>
  <c r="AL18" s="1"/>
  <c r="G20"/>
  <c r="Z20" s="1"/>
  <c r="AL20" s="1"/>
  <c r="G19"/>
  <c r="Z19" s="1"/>
  <c r="AL19" s="1"/>
  <c r="G21"/>
  <c r="Z21" s="1"/>
  <c r="AL21" s="1"/>
  <c r="J43" i="24"/>
  <c r="L43" s="1"/>
  <c r="L44" s="1"/>
  <c r="J45"/>
  <c r="L45" s="1"/>
  <c r="L46" s="1"/>
  <c r="J47"/>
  <c r="L47" s="1"/>
  <c r="L48" s="1"/>
  <c r="J49"/>
  <c r="L49" s="1"/>
  <c r="L50" s="1"/>
  <c r="I12" i="54"/>
  <c r="I10"/>
  <c r="I6"/>
  <c r="AC100" i="24"/>
  <c r="AC99"/>
  <c r="V100"/>
  <c r="V99"/>
  <c r="O100"/>
  <c r="P100" s="1"/>
  <c r="O99"/>
  <c r="P99" s="1"/>
  <c r="H50" i="112" s="1"/>
  <c r="AC99" i="10"/>
  <c r="AD126" s="1"/>
  <c r="V100"/>
  <c r="W127" s="1"/>
  <c r="V99"/>
  <c r="W126" s="1"/>
  <c r="O100"/>
  <c r="O99"/>
  <c r="P99" l="1"/>
  <c r="AY6" i="122" s="1"/>
  <c r="P126" i="10"/>
  <c r="Q126" s="1"/>
  <c r="P100"/>
  <c r="AY7" i="122" s="1"/>
  <c r="P127" i="10"/>
  <c r="M7" i="117"/>
  <c r="H51" i="112"/>
  <c r="M6" i="117"/>
  <c r="Q99" i="24"/>
  <c r="S99" s="1"/>
  <c r="O6" i="117" s="1"/>
  <c r="P126" i="24"/>
  <c r="S6" i="121"/>
  <c r="S7" s="1"/>
  <c r="Q100" i="24"/>
  <c r="S100" s="1"/>
  <c r="O7" i="117" s="1"/>
  <c r="P127" i="24"/>
  <c r="K72" i="7" s="1"/>
  <c r="AD99" i="24"/>
  <c r="W100"/>
  <c r="I51" i="112" s="1"/>
  <c r="AD100" i="24"/>
  <c r="AE100" s="1"/>
  <c r="S6" i="120"/>
  <c r="S7" s="1"/>
  <c r="S79" i="10"/>
  <c r="H21" i="74"/>
  <c r="AA21" s="1"/>
  <c r="AM21" s="1"/>
  <c r="I21"/>
  <c r="H19"/>
  <c r="AA19" s="1"/>
  <c r="AM19" s="1"/>
  <c r="I19"/>
  <c r="H20"/>
  <c r="AA20" s="1"/>
  <c r="AM20" s="1"/>
  <c r="I20"/>
  <c r="H18"/>
  <c r="AA18" s="1"/>
  <c r="AM18" s="1"/>
  <c r="I18"/>
  <c r="AD100" i="10"/>
  <c r="AQ49" i="122" s="1"/>
  <c r="AD99" i="10"/>
  <c r="AQ48" i="122" s="1"/>
  <c r="W100" i="10"/>
  <c r="W99"/>
  <c r="W99" i="24"/>
  <c r="D67" i="69"/>
  <c r="D65"/>
  <c r="D61"/>
  <c r="I8" i="54"/>
  <c r="K6"/>
  <c r="K10"/>
  <c r="K11" s="1"/>
  <c r="K8"/>
  <c r="K12"/>
  <c r="K13" s="1"/>
  <c r="S6" i="60"/>
  <c r="S7" s="1"/>
  <c r="Q6"/>
  <c r="E167" i="62" s="1"/>
  <c r="BG6" i="60" l="1"/>
  <c r="BG6" i="122"/>
  <c r="BG7" i="60"/>
  <c r="BG7" i="122"/>
  <c r="AG100" i="24"/>
  <c r="AG127" s="1"/>
  <c r="I49" i="121"/>
  <c r="AQ51" i="60"/>
  <c r="Q15" i="121"/>
  <c r="AY7" i="60"/>
  <c r="Q99" i="10"/>
  <c r="S99" s="1"/>
  <c r="BA6" i="122" s="1"/>
  <c r="AY6" i="60"/>
  <c r="I50" i="121"/>
  <c r="AQ52" i="60"/>
  <c r="Q100" i="10"/>
  <c r="S100" s="1"/>
  <c r="Y14" i="121"/>
  <c r="Q14"/>
  <c r="W126" i="24"/>
  <c r="L71" i="7" s="1"/>
  <c r="I50" i="112"/>
  <c r="Q126" i="24"/>
  <c r="K71" i="7"/>
  <c r="Y15" i="121"/>
  <c r="I7" i="118"/>
  <c r="V24" i="119" s="1"/>
  <c r="AD127" i="24"/>
  <c r="I6" i="118"/>
  <c r="V23" i="119" s="1"/>
  <c r="AD126" i="24"/>
  <c r="Q7" i="117"/>
  <c r="Q24" i="119" s="1"/>
  <c r="W127" i="24"/>
  <c r="L72" i="7" s="1"/>
  <c r="X99" i="10"/>
  <c r="Z99" s="1"/>
  <c r="BI6" i="122" s="1"/>
  <c r="X126" i="10"/>
  <c r="AE99" i="24"/>
  <c r="AG99" s="1"/>
  <c r="Q6" i="117"/>
  <c r="Q23" i="119" s="1"/>
  <c r="AE99" i="10"/>
  <c r="AG99" s="1"/>
  <c r="AE100"/>
  <c r="AG100" s="1"/>
  <c r="E202" i="62"/>
  <c r="E203"/>
  <c r="X99" i="24"/>
  <c r="Z99" s="1"/>
  <c r="Z126" s="1"/>
  <c r="D63" i="69"/>
  <c r="D95"/>
  <c r="K9" i="54"/>
  <c r="D93" i="69"/>
  <c r="K7" i="54"/>
  <c r="D99" i="69"/>
  <c r="D97"/>
  <c r="X100" i="10"/>
  <c r="Z100" s="1"/>
  <c r="BI7" i="122" s="1"/>
  <c r="AS52" i="60" l="1"/>
  <c r="AS49" i="122"/>
  <c r="S127" i="10"/>
  <c r="BA7" i="122"/>
  <c r="AS51" i="60"/>
  <c r="AS48" i="122"/>
  <c r="X126" i="24"/>
  <c r="K7" i="118"/>
  <c r="W24" i="119" s="1"/>
  <c r="AA15" i="121"/>
  <c r="BI7" i="60"/>
  <c r="S15" i="121"/>
  <c r="BA7" i="60"/>
  <c r="S14" i="121"/>
  <c r="BA6" i="60"/>
  <c r="AA14" i="121"/>
  <c r="BI6" i="60"/>
  <c r="S126" i="10"/>
  <c r="AG126"/>
  <c r="K49" i="121"/>
  <c r="AG127" i="10"/>
  <c r="K50" i="121"/>
  <c r="AE126" i="24"/>
  <c r="M71" i="7"/>
  <c r="AE127" i="24"/>
  <c r="M72" i="7"/>
  <c r="K6" i="118"/>
  <c r="W23" i="119" s="1"/>
  <c r="AG126" i="24"/>
  <c r="Z126" i="10"/>
  <c r="Z127"/>
  <c r="AE127"/>
  <c r="AE126"/>
  <c r="S6" i="117"/>
  <c r="X100" i="24"/>
  <c r="Z100" s="1"/>
  <c r="Z127" s="1"/>
  <c r="D98" i="69"/>
  <c r="D100"/>
  <c r="D96"/>
  <c r="D94"/>
  <c r="E204" i="62"/>
  <c r="H100" i="24"/>
  <c r="I100" s="1"/>
  <c r="H99"/>
  <c r="S7" i="117" l="1"/>
  <c r="I127" i="24"/>
  <c r="J72" i="7" s="1"/>
  <c r="I99" i="24"/>
  <c r="H99" i="10"/>
  <c r="H100"/>
  <c r="I100" s="1"/>
  <c r="Q25" i="61"/>
  <c r="Q19"/>
  <c r="M25"/>
  <c r="M19"/>
  <c r="H47" i="10"/>
  <c r="I47" s="1"/>
  <c r="H49"/>
  <c r="I49" s="1"/>
  <c r="H51"/>
  <c r="I51" s="1"/>
  <c r="H94" i="24"/>
  <c r="I94" s="1"/>
  <c r="J94" s="1"/>
  <c r="H93"/>
  <c r="H91"/>
  <c r="I91" s="1"/>
  <c r="H88"/>
  <c r="H87"/>
  <c r="I87" s="1"/>
  <c r="H86"/>
  <c r="H84"/>
  <c r="I84" s="1"/>
  <c r="J53" i="7" s="1"/>
  <c r="H82" i="24"/>
  <c r="I82" s="1"/>
  <c r="J51" i="7" s="1"/>
  <c r="H80" i="24"/>
  <c r="H78"/>
  <c r="AC93"/>
  <c r="AC94"/>
  <c r="V93"/>
  <c r="W93" s="1"/>
  <c r="L62" i="7" s="1"/>
  <c r="V94" i="24"/>
  <c r="W94" s="1"/>
  <c r="X94" s="1"/>
  <c r="O93"/>
  <c r="O94"/>
  <c r="P94" s="1"/>
  <c r="Q94" s="1"/>
  <c r="AC93" i="10"/>
  <c r="AC94"/>
  <c r="AD94" s="1"/>
  <c r="I64" i="122" s="1"/>
  <c r="M64" s="1"/>
  <c r="O64" s="1"/>
  <c r="V93" i="10"/>
  <c r="W93" s="1"/>
  <c r="X93" s="1"/>
  <c r="Z93" s="1"/>
  <c r="V94"/>
  <c r="W94" s="1"/>
  <c r="O93"/>
  <c r="P93" s="1"/>
  <c r="Q93" s="1"/>
  <c r="S93" s="1"/>
  <c r="O94"/>
  <c r="P94" s="1"/>
  <c r="H93"/>
  <c r="H94"/>
  <c r="I94" s="1"/>
  <c r="AC91" i="24"/>
  <c r="AD91" s="1"/>
  <c r="AC80"/>
  <c r="AD80" s="1"/>
  <c r="AC82"/>
  <c r="AC84"/>
  <c r="AC86"/>
  <c r="AD86" s="1"/>
  <c r="AC87"/>
  <c r="AD87" s="1"/>
  <c r="AC88"/>
  <c r="AD88" s="1"/>
  <c r="AC78"/>
  <c r="AD78" s="1"/>
  <c r="V91"/>
  <c r="W91" s="1"/>
  <c r="V80"/>
  <c r="W80" s="1"/>
  <c r="V82"/>
  <c r="V84"/>
  <c r="W84" s="1"/>
  <c r="L53" i="7" s="1"/>
  <c r="V86" i="24"/>
  <c r="W86" s="1"/>
  <c r="V87"/>
  <c r="W87" s="1"/>
  <c r="I42" i="112" s="1"/>
  <c r="V88" i="24"/>
  <c r="W88" s="1"/>
  <c r="V78"/>
  <c r="W78" s="1"/>
  <c r="O91"/>
  <c r="P91" s="1"/>
  <c r="O80"/>
  <c r="O82"/>
  <c r="P82" s="1"/>
  <c r="K51" i="7" s="1"/>
  <c r="O84" i="24"/>
  <c r="P84" s="1"/>
  <c r="K53" i="7" s="1"/>
  <c r="O86" i="24"/>
  <c r="P86" s="1"/>
  <c r="O87"/>
  <c r="P87" s="1"/>
  <c r="O88"/>
  <c r="P88" s="1"/>
  <c r="O78"/>
  <c r="AC91" i="10"/>
  <c r="V91"/>
  <c r="O91"/>
  <c r="H91"/>
  <c r="AC80"/>
  <c r="AD80" s="1"/>
  <c r="AC82"/>
  <c r="AD82" s="1"/>
  <c r="AC84"/>
  <c r="AD84" s="1"/>
  <c r="AC86"/>
  <c r="AD86" s="1"/>
  <c r="I56" i="122" s="1"/>
  <c r="AC87" i="10"/>
  <c r="AD87" s="1"/>
  <c r="I57" i="122" s="1"/>
  <c r="AC88" i="10"/>
  <c r="AD88" s="1"/>
  <c r="AC78"/>
  <c r="AD78" s="1"/>
  <c r="V80"/>
  <c r="W80" s="1"/>
  <c r="V82"/>
  <c r="W82" s="1"/>
  <c r="V84"/>
  <c r="W84" s="1"/>
  <c r="V86"/>
  <c r="W86" s="1"/>
  <c r="Y14" i="122" s="1"/>
  <c r="V87" i="10"/>
  <c r="W87" s="1"/>
  <c r="Y15" i="122" s="1"/>
  <c r="V88" i="10"/>
  <c r="W88" s="1"/>
  <c r="V78"/>
  <c r="W78" s="1"/>
  <c r="O80"/>
  <c r="P80" s="1"/>
  <c r="Q8" i="122" s="1"/>
  <c r="O82" i="10"/>
  <c r="P82" s="1"/>
  <c r="Q10" i="122" s="1"/>
  <c r="O84" i="10"/>
  <c r="P84" s="1"/>
  <c r="Q12" i="122" s="1"/>
  <c r="O86" i="10"/>
  <c r="O87"/>
  <c r="P87" s="1"/>
  <c r="Q15" i="122" s="1"/>
  <c r="O88" i="10"/>
  <c r="P88" s="1"/>
  <c r="H80"/>
  <c r="H82"/>
  <c r="H84"/>
  <c r="H86"/>
  <c r="H87"/>
  <c r="H88"/>
  <c r="I88" s="1"/>
  <c r="H78"/>
  <c r="I37" i="54"/>
  <c r="I66" i="58"/>
  <c r="I28"/>
  <c r="I29" i="54"/>
  <c r="K43" i="7"/>
  <c r="H36" i="112"/>
  <c r="AC59" i="24"/>
  <c r="AD59" s="1"/>
  <c r="V59"/>
  <c r="I35" i="112" s="1"/>
  <c r="O59" i="24"/>
  <c r="H59"/>
  <c r="AC58"/>
  <c r="AD58" s="1"/>
  <c r="AE58" s="1"/>
  <c r="V58"/>
  <c r="W58" s="1"/>
  <c r="X58" s="1"/>
  <c r="O58"/>
  <c r="P58" s="1"/>
  <c r="Q58" s="1"/>
  <c r="H58"/>
  <c r="I58" s="1"/>
  <c r="J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H23"/>
  <c r="I23" s="1"/>
  <c r="J23" s="1"/>
  <c r="H22"/>
  <c r="H21"/>
  <c r="I21" s="1"/>
  <c r="J18" i="7" s="1"/>
  <c r="H20" i="24"/>
  <c r="H18"/>
  <c r="I18" s="1"/>
  <c r="H17"/>
  <c r="I17" s="1"/>
  <c r="H16"/>
  <c r="H14"/>
  <c r="H12"/>
  <c r="H9"/>
  <c r="I9" s="1"/>
  <c r="J6" i="7" s="1"/>
  <c r="H6" i="24"/>
  <c r="AC59" i="10"/>
  <c r="V59"/>
  <c r="O59"/>
  <c r="H59"/>
  <c r="H58"/>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V53"/>
  <c r="W53" s="1"/>
  <c r="X53" s="1"/>
  <c r="Z53" s="1"/>
  <c r="O53"/>
  <c r="P53" s="1"/>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D47" s="1"/>
  <c r="AE47" s="1"/>
  <c r="AG47" s="1"/>
  <c r="AG48" s="1"/>
  <c r="V47"/>
  <c r="W47" s="1"/>
  <c r="X47" s="1"/>
  <c r="Z47" s="1"/>
  <c r="Z48" s="1"/>
  <c r="O47"/>
  <c r="P47" s="1"/>
  <c r="Q47" s="1"/>
  <c r="S47" s="1"/>
  <c r="S48" s="1"/>
  <c r="AC45"/>
  <c r="AD45" s="1"/>
  <c r="AE45" s="1"/>
  <c r="AG45" s="1"/>
  <c r="AG46" s="1"/>
  <c r="V45"/>
  <c r="W45" s="1"/>
  <c r="X45" s="1"/>
  <c r="Z45" s="1"/>
  <c r="Z46" s="1"/>
  <c r="O45"/>
  <c r="P45" s="1"/>
  <c r="Q45" s="1"/>
  <c r="S45" s="1"/>
  <c r="S46" s="1"/>
  <c r="H45"/>
  <c r="I45" s="1"/>
  <c r="AC43"/>
  <c r="AE43" s="1"/>
  <c r="AG43" s="1"/>
  <c r="AG44" s="1"/>
  <c r="V43"/>
  <c r="W43" s="1"/>
  <c r="X43" s="1"/>
  <c r="Z43" s="1"/>
  <c r="Z44" s="1"/>
  <c r="O43"/>
  <c r="P43" s="1"/>
  <c r="Q43" s="1"/>
  <c r="S43" s="1"/>
  <c r="S44" s="1"/>
  <c r="H43"/>
  <c r="I43" s="1"/>
  <c r="AC24"/>
  <c r="AD24" s="1"/>
  <c r="V24"/>
  <c r="W24" s="1"/>
  <c r="O24"/>
  <c r="P24" s="1"/>
  <c r="AC23"/>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I61" i="120" l="1"/>
  <c r="M61" s="1"/>
  <c r="O61" s="1"/>
  <c r="AD91" i="10"/>
  <c r="AE91" s="1"/>
  <c r="AG91" s="1"/>
  <c r="K61" i="120" s="1"/>
  <c r="Y19"/>
  <c r="AC19" s="1"/>
  <c r="AE19" s="1"/>
  <c r="I19"/>
  <c r="M19" s="1"/>
  <c r="O19" s="1"/>
  <c r="AQ7" i="60"/>
  <c r="AQ7" i="122"/>
  <c r="AN129" i="24"/>
  <c r="S129"/>
  <c r="Z129"/>
  <c r="I126"/>
  <c r="J126" s="1"/>
  <c r="AG129"/>
  <c r="L129"/>
  <c r="AU129"/>
  <c r="S91"/>
  <c r="L60" i="7"/>
  <c r="Q19" i="120"/>
  <c r="U19" s="1"/>
  <c r="W19" s="1"/>
  <c r="X91" i="10"/>
  <c r="Z91" s="1"/>
  <c r="AA19" i="120" s="1"/>
  <c r="X91" i="24"/>
  <c r="AD93" i="10"/>
  <c r="AE93" s="1"/>
  <c r="AG93" s="1"/>
  <c r="K63" i="122" s="1"/>
  <c r="P93" i="24"/>
  <c r="K62" i="7" s="1"/>
  <c r="X93" i="24"/>
  <c r="Y6" i="121"/>
  <c r="Y6" i="122"/>
  <c r="Y12" i="121"/>
  <c r="Y12" i="122"/>
  <c r="Y8" i="121"/>
  <c r="Y8" i="122"/>
  <c r="I45" i="121"/>
  <c r="I52" i="122"/>
  <c r="J94" i="10"/>
  <c r="I22" i="122"/>
  <c r="M22" s="1"/>
  <c r="O22" s="1"/>
  <c r="X94" i="10"/>
  <c r="Z94" s="1"/>
  <c r="AA22" i="122" s="1"/>
  <c r="Y22"/>
  <c r="AC22" s="1"/>
  <c r="AE22" s="1"/>
  <c r="Y10" i="121"/>
  <c r="Y10" i="122"/>
  <c r="I41" i="121"/>
  <c r="I48" i="122"/>
  <c r="I47" i="121"/>
  <c r="I54" i="122"/>
  <c r="I43" i="121"/>
  <c r="I50" i="122"/>
  <c r="Q94" i="10"/>
  <c r="S94" s="1"/>
  <c r="S22" i="122" s="1"/>
  <c r="Q22"/>
  <c r="U22" s="1"/>
  <c r="W22" s="1"/>
  <c r="I16" i="60"/>
  <c r="D179" i="62" s="1"/>
  <c r="I16" i="122"/>
  <c r="Q16" i="60"/>
  <c r="E179" i="62" s="1"/>
  <c r="Q16" i="122"/>
  <c r="I61" i="60"/>
  <c r="G179" i="62" s="1"/>
  <c r="I58" i="122"/>
  <c r="Y16" i="60"/>
  <c r="F179" i="62" s="1"/>
  <c r="Y16" i="122"/>
  <c r="AE53" i="10"/>
  <c r="AG53" s="1"/>
  <c r="K23" i="120" s="1"/>
  <c r="I23"/>
  <c r="AE94" i="10"/>
  <c r="AG94" s="1"/>
  <c r="I65" i="120"/>
  <c r="I22" i="58"/>
  <c r="H42" i="112"/>
  <c r="M15" i="56"/>
  <c r="J56" i="7"/>
  <c r="I15" i="56"/>
  <c r="J21" i="7"/>
  <c r="I6" i="24"/>
  <c r="J3" i="7" s="1"/>
  <c r="I59" i="24"/>
  <c r="H35" i="112" s="1"/>
  <c r="AD94" i="24"/>
  <c r="AE94" s="1"/>
  <c r="I58" i="10"/>
  <c r="L57" i="7"/>
  <c r="I57" i="112"/>
  <c r="L55" i="7"/>
  <c r="I43" i="112"/>
  <c r="L43" i="7"/>
  <c r="I36" i="112"/>
  <c r="I126" i="10"/>
  <c r="I99"/>
  <c r="L63" i="7"/>
  <c r="AA23" i="46"/>
  <c r="I20" i="24"/>
  <c r="J17" i="7" s="1"/>
  <c r="S23" i="46"/>
  <c r="K63"/>
  <c r="J41" i="7"/>
  <c r="I15" i="121"/>
  <c r="I127" i="10"/>
  <c r="J127" s="1"/>
  <c r="J127" i="24"/>
  <c r="Q12" i="121"/>
  <c r="Q8"/>
  <c r="Y14" i="120"/>
  <c r="I56" i="121"/>
  <c r="M56" s="1"/>
  <c r="O56" s="1"/>
  <c r="Q10"/>
  <c r="I56" i="120"/>
  <c r="AN127" i="24"/>
  <c r="S126"/>
  <c r="S127"/>
  <c r="J15" i="7"/>
  <c r="G11" i="112"/>
  <c r="K57" i="7"/>
  <c r="H57" i="112"/>
  <c r="K55" i="7"/>
  <c r="H43" i="112"/>
  <c r="J14" i="7"/>
  <c r="G4" i="112"/>
  <c r="I7" i="117"/>
  <c r="G24" i="119" s="1"/>
  <c r="I6" i="117"/>
  <c r="G23" i="119" s="1"/>
  <c r="K35" i="7"/>
  <c r="M35"/>
  <c r="L38"/>
  <c r="L39"/>
  <c r="L40"/>
  <c r="L41"/>
  <c r="G35" i="112"/>
  <c r="L42" i="7"/>
  <c r="M43"/>
  <c r="M57"/>
  <c r="M55"/>
  <c r="L35"/>
  <c r="K38"/>
  <c r="M38"/>
  <c r="K39"/>
  <c r="M39"/>
  <c r="K40"/>
  <c r="M40"/>
  <c r="K41"/>
  <c r="M41"/>
  <c r="Q59" i="24"/>
  <c r="K42" i="7"/>
  <c r="I22" i="114"/>
  <c r="M42" i="7"/>
  <c r="G36" i="112"/>
  <c r="J43" i="7"/>
  <c r="K56"/>
  <c r="L47"/>
  <c r="L56"/>
  <c r="L49"/>
  <c r="M47"/>
  <c r="M56"/>
  <c r="M49"/>
  <c r="M63"/>
  <c r="G51" i="112"/>
  <c r="AA12" i="58"/>
  <c r="AA13" s="1"/>
  <c r="Z50" i="10"/>
  <c r="S88" i="24"/>
  <c r="Z88"/>
  <c r="S94"/>
  <c r="S84"/>
  <c r="S85" s="1"/>
  <c r="Z84"/>
  <c r="Z85" s="1"/>
  <c r="I53" i="10"/>
  <c r="J53" s="1"/>
  <c r="I78"/>
  <c r="I6" i="122" s="1"/>
  <c r="I87" i="10"/>
  <c r="I15" i="122" s="1"/>
  <c r="I84" i="10"/>
  <c r="I12" i="122" s="1"/>
  <c r="I80" i="10"/>
  <c r="I8" i="122" s="1"/>
  <c r="Q87" i="10"/>
  <c r="S87" s="1"/>
  <c r="S15" i="122" s="1"/>
  <c r="Q15" i="120"/>
  <c r="Q84" i="10"/>
  <c r="S84" s="1"/>
  <c r="Q12" i="120"/>
  <c r="Q80" i="10"/>
  <c r="S80" s="1"/>
  <c r="S8" i="122" s="1"/>
  <c r="S9" s="1"/>
  <c r="Q8" i="120"/>
  <c r="X88" i="10"/>
  <c r="Z88" s="1"/>
  <c r="X82"/>
  <c r="Z82" s="1"/>
  <c r="Y10" i="120"/>
  <c r="AE78" i="10"/>
  <c r="AG78" s="1"/>
  <c r="I48" i="120"/>
  <c r="AE87" i="10"/>
  <c r="AG87" s="1"/>
  <c r="K57" i="122" s="1"/>
  <c r="I57" i="120"/>
  <c r="AE84" i="10"/>
  <c r="AG84" s="1"/>
  <c r="K54" i="122" s="1"/>
  <c r="K55" s="1"/>
  <c r="I54" i="120"/>
  <c r="AE80" i="10"/>
  <c r="AG80" s="1"/>
  <c r="I50" i="120"/>
  <c r="Q22"/>
  <c r="U22" s="1"/>
  <c r="W22" s="1"/>
  <c r="I64"/>
  <c r="I86" i="10"/>
  <c r="I14" i="122" s="1"/>
  <c r="I82" i="10"/>
  <c r="I10" i="122" s="1"/>
  <c r="Q88" i="10"/>
  <c r="S88" s="1"/>
  <c r="Q82"/>
  <c r="S82" s="1"/>
  <c r="Q10" i="120"/>
  <c r="X78" i="10"/>
  <c r="Z78" s="1"/>
  <c r="AA6" i="122" s="1"/>
  <c r="AA7" s="1"/>
  <c r="Y6" i="120"/>
  <c r="X87" i="10"/>
  <c r="Z87" s="1"/>
  <c r="AA15" i="122" s="1"/>
  <c r="Y15" i="120"/>
  <c r="X84" i="10"/>
  <c r="Z84" s="1"/>
  <c r="Y12" i="120"/>
  <c r="X80" i="10"/>
  <c r="Z80" s="1"/>
  <c r="AA8" i="122" s="1"/>
  <c r="AA9" s="1"/>
  <c r="Y8" i="120"/>
  <c r="AE88" i="10"/>
  <c r="AG88" s="1"/>
  <c r="AE82"/>
  <c r="AG82" s="1"/>
  <c r="K52" i="122" s="1"/>
  <c r="K53" s="1"/>
  <c r="I52" i="120"/>
  <c r="I19" i="122"/>
  <c r="M19" s="1"/>
  <c r="O19" s="1"/>
  <c r="I93" i="10"/>
  <c r="Y22" i="120"/>
  <c r="AC22" s="1"/>
  <c r="AE22" s="1"/>
  <c r="I12" i="24"/>
  <c r="J12" s="1"/>
  <c r="I16"/>
  <c r="J16" s="1"/>
  <c r="J20" i="7"/>
  <c r="I15" i="114"/>
  <c r="G70" i="69" s="1"/>
  <c r="Z56" i="24"/>
  <c r="P27" i="74" s="1"/>
  <c r="AF27" s="1"/>
  <c r="AR27" s="1"/>
  <c r="AG88" i="24"/>
  <c r="I16" i="115"/>
  <c r="AG86" i="24"/>
  <c r="I14" i="115"/>
  <c r="I22" i="24"/>
  <c r="J22" s="1"/>
  <c r="L22" s="1"/>
  <c r="I18" i="114"/>
  <c r="G73" i="69" s="1"/>
  <c r="S56" i="24"/>
  <c r="AG56"/>
  <c r="I19" i="114"/>
  <c r="G74" i="69" s="1"/>
  <c r="I20" i="114"/>
  <c r="G75" i="69" s="1"/>
  <c r="I21" i="114"/>
  <c r="G76" i="69" s="1"/>
  <c r="AG78" i="24"/>
  <c r="I6" i="115"/>
  <c r="V6" i="119" s="1"/>
  <c r="AG87" i="24"/>
  <c r="I15" i="115"/>
  <c r="AG80" i="24"/>
  <c r="I8" i="115"/>
  <c r="V8" i="119" s="1"/>
  <c r="AG94" i="24"/>
  <c r="I22" i="120"/>
  <c r="M22" s="1"/>
  <c r="O22" s="1"/>
  <c r="I88" i="24"/>
  <c r="G15" i="119"/>
  <c r="G50" i="112"/>
  <c r="AD6" i="10"/>
  <c r="AE6" s="1"/>
  <c r="AG6" s="1"/>
  <c r="I16"/>
  <c r="J16" s="1"/>
  <c r="L16" s="1"/>
  <c r="I18"/>
  <c r="J18" s="1"/>
  <c r="Q84" i="24"/>
  <c r="L35" i="74" s="1"/>
  <c r="X84" i="24"/>
  <c r="O35" i="74" s="1"/>
  <c r="L43"/>
  <c r="L41"/>
  <c r="O42"/>
  <c r="G23" i="112"/>
  <c r="I15" i="54"/>
  <c r="AE16" i="10"/>
  <c r="AG16" s="1"/>
  <c r="K56" i="46" s="1"/>
  <c r="G45" i="62" s="1"/>
  <c r="I56" i="46"/>
  <c r="I18" i="61"/>
  <c r="I51" i="24"/>
  <c r="J51" s="1"/>
  <c r="Q88"/>
  <c r="L38" i="74" s="1"/>
  <c r="Q86" i="24"/>
  <c r="L36" i="74" s="1"/>
  <c r="Q82" i="24"/>
  <c r="S82" s="1"/>
  <c r="S83" s="1"/>
  <c r="X88"/>
  <c r="O38" i="74" s="1"/>
  <c r="X86" i="24"/>
  <c r="O36" i="74" s="1"/>
  <c r="O40"/>
  <c r="AE88" i="24"/>
  <c r="R38" i="74" s="1"/>
  <c r="AE86" i="24"/>
  <c r="R36" i="74" s="1"/>
  <c r="L42"/>
  <c r="O41"/>
  <c r="I86" i="24"/>
  <c r="I6" i="61"/>
  <c r="J100" i="10"/>
  <c r="L100" s="1"/>
  <c r="AS7" i="122" s="1"/>
  <c r="G57" i="112"/>
  <c r="J18" i="24"/>
  <c r="L18" s="1"/>
  <c r="J36" i="7"/>
  <c r="I56" i="10"/>
  <c r="J56" s="1"/>
  <c r="I57"/>
  <c r="J57" s="1"/>
  <c r="L57" s="1"/>
  <c r="K20" i="58" s="1"/>
  <c r="J47" i="10"/>
  <c r="L47" s="1"/>
  <c r="L48" s="1"/>
  <c r="J43"/>
  <c r="J45"/>
  <c r="L45" s="1"/>
  <c r="L46" s="1"/>
  <c r="J49"/>
  <c r="L49" s="1"/>
  <c r="AD82" i="24"/>
  <c r="M60" i="7"/>
  <c r="AD84" i="24"/>
  <c r="AD93"/>
  <c r="M62" i="7" s="1"/>
  <c r="L34" i="74"/>
  <c r="W82" i="24"/>
  <c r="L51" i="7" s="1"/>
  <c r="G10" i="74"/>
  <c r="Z10" s="1"/>
  <c r="AL10" s="1"/>
  <c r="J23"/>
  <c r="AB23" s="1"/>
  <c r="AN23" s="1"/>
  <c r="G27"/>
  <c r="Z27" s="1"/>
  <c r="AL27" s="1"/>
  <c r="M32"/>
  <c r="AD32" s="1"/>
  <c r="AP32" s="1"/>
  <c r="G14"/>
  <c r="Z14" s="1"/>
  <c r="AL14" s="1"/>
  <c r="I10" i="56"/>
  <c r="G10" i="119" s="1"/>
  <c r="P39" i="74"/>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P38"/>
  <c r="AF38" s="1"/>
  <c r="AR38" s="1"/>
  <c r="J42"/>
  <c r="AB42" s="1"/>
  <c r="AN42" s="1"/>
  <c r="M41"/>
  <c r="AD41" s="1"/>
  <c r="AP41" s="1"/>
  <c r="G36"/>
  <c r="Z36" s="1"/>
  <c r="AL36" s="1"/>
  <c r="J39"/>
  <c r="AB39" s="1"/>
  <c r="AN39" s="1"/>
  <c r="J43"/>
  <c r="AB43" s="1"/>
  <c r="AN43" s="1"/>
  <c r="M42"/>
  <c r="AD42" s="1"/>
  <c r="AP42" s="1"/>
  <c r="I12" i="56"/>
  <c r="G12" i="119" s="1"/>
  <c r="G39" i="74"/>
  <c r="Z39" s="1"/>
  <c r="AL39" s="1"/>
  <c r="M40"/>
  <c r="AD40" s="1"/>
  <c r="AP40" s="1"/>
  <c r="Q19" i="56"/>
  <c r="F127" i="69" s="1"/>
  <c r="AE59" i="24"/>
  <c r="AG59" s="1"/>
  <c r="K22" i="114" s="1"/>
  <c r="Q12" i="10"/>
  <c r="S12" s="1"/>
  <c r="AD12"/>
  <c r="AE12" s="1"/>
  <c r="AG12" s="1"/>
  <c r="P14"/>
  <c r="Q14" s="1"/>
  <c r="S14" s="1"/>
  <c r="AE14"/>
  <c r="AG14" s="1"/>
  <c r="J12"/>
  <c r="W12"/>
  <c r="X12" s="1"/>
  <c r="Z12" s="1"/>
  <c r="I14"/>
  <c r="J14" s="1"/>
  <c r="L14" s="1"/>
  <c r="L15" s="1"/>
  <c r="W14"/>
  <c r="X14" s="1"/>
  <c r="Z14" s="1"/>
  <c r="I14" i="24"/>
  <c r="J11" i="7" s="1"/>
  <c r="J99" i="24"/>
  <c r="L99" s="1"/>
  <c r="L126" s="1"/>
  <c r="J100"/>
  <c r="L100" s="1"/>
  <c r="L127" s="1"/>
  <c r="I80"/>
  <c r="J49" i="7" s="1"/>
  <c r="J84" i="24"/>
  <c r="L84" s="1"/>
  <c r="L85" s="1"/>
  <c r="J82"/>
  <c r="L82" s="1"/>
  <c r="L83" s="1"/>
  <c r="I78"/>
  <c r="J47" i="7" s="1"/>
  <c r="X52" i="24"/>
  <c r="Z52" s="1"/>
  <c r="P23" i="74" s="1"/>
  <c r="AF23" s="1"/>
  <c r="AR23" s="1"/>
  <c r="Q55" i="24"/>
  <c r="S55" s="1"/>
  <c r="Q56"/>
  <c r="Q57"/>
  <c r="S57" s="1"/>
  <c r="S58"/>
  <c r="Q38" i="74"/>
  <c r="AG38" s="1"/>
  <c r="AS38" s="1"/>
  <c r="Q52" i="24"/>
  <c r="S52" s="1"/>
  <c r="Q23" i="54"/>
  <c r="AE52" i="24"/>
  <c r="AG52" s="1"/>
  <c r="X55"/>
  <c r="Z55" s="1"/>
  <c r="P26" i="74" s="1"/>
  <c r="AF26" s="1"/>
  <c r="AR26" s="1"/>
  <c r="X56" i="24"/>
  <c r="X57"/>
  <c r="Z57" s="1"/>
  <c r="P28" i="74" s="1"/>
  <c r="AF28" s="1"/>
  <c r="AR28" s="1"/>
  <c r="Z58" i="24"/>
  <c r="P29" i="74" s="1"/>
  <c r="AF29" s="1"/>
  <c r="AR29" s="1"/>
  <c r="N38"/>
  <c r="AE38" s="1"/>
  <c r="AQ38" s="1"/>
  <c r="AE55" i="24"/>
  <c r="AG55" s="1"/>
  <c r="AE56"/>
  <c r="AE57"/>
  <c r="AG57" s="1"/>
  <c r="AG58"/>
  <c r="M23" i="54"/>
  <c r="J21" i="24"/>
  <c r="L21" s="1"/>
  <c r="J20"/>
  <c r="L20" s="1"/>
  <c r="J17"/>
  <c r="J52"/>
  <c r="L52" s="1"/>
  <c r="J56"/>
  <c r="L56" s="1"/>
  <c r="J57"/>
  <c r="L57" s="1"/>
  <c r="L58"/>
  <c r="D82" i="69"/>
  <c r="D89"/>
  <c r="F18"/>
  <c r="D90"/>
  <c r="I22" i="10"/>
  <c r="J22" s="1"/>
  <c r="L22" s="1"/>
  <c r="G5" i="74"/>
  <c r="Z5" s="1"/>
  <c r="AL5" s="1"/>
  <c r="P80" i="24"/>
  <c r="J24"/>
  <c r="L24" s="1"/>
  <c r="K24" i="61" s="1"/>
  <c r="I24"/>
  <c r="P78" i="24"/>
  <c r="G4" i="74"/>
  <c r="Z4" s="1"/>
  <c r="AL4" s="1"/>
  <c r="AE21" i="10"/>
  <c r="AG21" s="1"/>
  <c r="I61" i="46"/>
  <c r="G18" i="62" s="1"/>
  <c r="S14" i="58"/>
  <c r="S15"/>
  <c r="S16"/>
  <c r="S21"/>
  <c r="K52"/>
  <c r="K53"/>
  <c r="K59"/>
  <c r="I15"/>
  <c r="D68" i="62" s="1"/>
  <c r="J52" i="10"/>
  <c r="L52" s="1"/>
  <c r="K15" i="58" s="1"/>
  <c r="I55" i="24"/>
  <c r="J38" i="7" s="1"/>
  <c r="I14" i="58"/>
  <c r="D67" i="62" s="1"/>
  <c r="J51" i="10"/>
  <c r="L51" s="1"/>
  <c r="K14" i="58" s="1"/>
  <c r="I21"/>
  <c r="D74" i="62" s="1"/>
  <c r="I57" i="60"/>
  <c r="Q21" i="56"/>
  <c r="I93" i="24"/>
  <c r="J62" i="7" s="1"/>
  <c r="J17" i="10"/>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I20" i="54"/>
  <c r="I19"/>
  <c r="Q10"/>
  <c r="Q14"/>
  <c r="Q6"/>
  <c r="M8"/>
  <c r="I15" i="60"/>
  <c r="I60"/>
  <c r="I21"/>
  <c r="I66"/>
  <c r="Q18" i="46"/>
  <c r="E15" i="62" s="1"/>
  <c r="K58" i="46"/>
  <c r="Y15" i="60"/>
  <c r="I59"/>
  <c r="Y18" i="46"/>
  <c r="F15" i="62" s="1"/>
  <c r="Q15" i="60"/>
  <c r="E178" i="62" s="1"/>
  <c r="Y14" i="60"/>
  <c r="I22"/>
  <c r="Q22"/>
  <c r="E185" i="62" s="1"/>
  <c r="Q6" i="56"/>
  <c r="Q8"/>
  <c r="Q6" i="61"/>
  <c r="Q12"/>
  <c r="Q16"/>
  <c r="Q18"/>
  <c r="Q20"/>
  <c r="Q21"/>
  <c r="S24"/>
  <c r="Q24"/>
  <c r="M6"/>
  <c r="M9"/>
  <c r="M12"/>
  <c r="M14"/>
  <c r="M16"/>
  <c r="M17"/>
  <c r="M18"/>
  <c r="M20"/>
  <c r="M21"/>
  <c r="M22"/>
  <c r="O24"/>
  <c r="M24"/>
  <c r="Q9"/>
  <c r="Q14"/>
  <c r="Q17"/>
  <c r="Q22"/>
  <c r="I17"/>
  <c r="I20"/>
  <c r="I21"/>
  <c r="Q22" i="54"/>
  <c r="M22"/>
  <c r="K49" i="46"/>
  <c r="K50" s="1"/>
  <c r="K51" s="1"/>
  <c r="I49"/>
  <c r="G7" i="62" s="1"/>
  <c r="AA6" i="46"/>
  <c r="Y6"/>
  <c r="F5" i="62" s="1"/>
  <c r="S6" i="46"/>
  <c r="Q6"/>
  <c r="E5" i="62" s="1"/>
  <c r="S9" i="46"/>
  <c r="Q9"/>
  <c r="E7" i="62" s="1"/>
  <c r="AA9" i="46"/>
  <c r="Y9"/>
  <c r="F7" i="62" s="1"/>
  <c r="M14" i="54"/>
  <c r="M18"/>
  <c r="M20"/>
  <c r="M22" i="56"/>
  <c r="L21" i="119" s="1"/>
  <c r="M6" i="54"/>
  <c r="N36" i="74"/>
  <c r="AE36" s="1"/>
  <c r="AQ36" s="1"/>
  <c r="Q14" i="56"/>
  <c r="Q14" i="119" s="1"/>
  <c r="Q36" i="74"/>
  <c r="AG36" s="1"/>
  <c r="AS36" s="1"/>
  <c r="Q87" i="24"/>
  <c r="S87" s="1"/>
  <c r="L15" i="119"/>
  <c r="X87" i="24"/>
  <c r="Z87" s="1"/>
  <c r="P37" i="74" s="1"/>
  <c r="AF37" s="1"/>
  <c r="AR37" s="1"/>
  <c r="Q15" i="56"/>
  <c r="Q15" i="119" s="1"/>
  <c r="AE87" i="24"/>
  <c r="M21" i="56"/>
  <c r="L19" i="119" s="1"/>
  <c r="J87" i="24"/>
  <c r="L87" s="1"/>
  <c r="M12" i="54"/>
  <c r="M15"/>
  <c r="M16"/>
  <c r="M21"/>
  <c r="N42" i="74"/>
  <c r="AE42" s="1"/>
  <c r="AQ42" s="1"/>
  <c r="Q8" i="54"/>
  <c r="M14" i="56"/>
  <c r="L14" i="119" s="1"/>
  <c r="M10" i="54"/>
  <c r="Q12"/>
  <c r="Q15"/>
  <c r="Q16"/>
  <c r="Q18"/>
  <c r="Q20"/>
  <c r="Q21"/>
  <c r="M16" i="56"/>
  <c r="L16" i="119" s="1"/>
  <c r="Q16" i="56"/>
  <c r="Q16" i="119" s="1"/>
  <c r="L20"/>
  <c r="N41" i="74"/>
  <c r="AE41" s="1"/>
  <c r="AQ41" s="1"/>
  <c r="Q10" i="60"/>
  <c r="E173" i="62" s="1"/>
  <c r="Q12" i="60"/>
  <c r="E175" i="62" s="1"/>
  <c r="Y10" i="60"/>
  <c r="Y12"/>
  <c r="I55"/>
  <c r="AA8" i="58"/>
  <c r="AA9" s="1"/>
  <c r="Y8"/>
  <c r="F60" i="62" s="1"/>
  <c r="D84"/>
  <c r="Q32" i="58"/>
  <c r="E83" i="62" s="1"/>
  <c r="M32" i="54"/>
  <c r="Y30" i="58"/>
  <c r="F81" i="62" s="1"/>
  <c r="Q30" i="54"/>
  <c r="G79" i="62"/>
  <c r="Q37" i="58"/>
  <c r="E88" i="62" s="1"/>
  <c r="M37" i="54"/>
  <c r="I31" i="120"/>
  <c r="I33" i="56"/>
  <c r="Q29" i="60"/>
  <c r="M29" i="56"/>
  <c r="Y29" i="60"/>
  <c r="Q29" i="56"/>
  <c r="S8" i="58"/>
  <c r="S9" s="1"/>
  <c r="Q8"/>
  <c r="E60" i="62" s="1"/>
  <c r="K50" i="58"/>
  <c r="K51" s="1"/>
  <c r="I50"/>
  <c r="G65" i="62" s="1"/>
  <c r="E77"/>
  <c r="M26" i="54"/>
  <c r="G77" i="62"/>
  <c r="D78"/>
  <c r="I27" i="54"/>
  <c r="Q29" i="58"/>
  <c r="E80" i="62" s="1"/>
  <c r="M29" i="54"/>
  <c r="Y27" i="58"/>
  <c r="F78" i="62" s="1"/>
  <c r="Q27" i="54"/>
  <c r="I67" i="58"/>
  <c r="G80" i="62" s="1"/>
  <c r="Q36" i="58"/>
  <c r="E87" i="62" s="1"/>
  <c r="M36" i="54"/>
  <c r="Y32" i="60"/>
  <c r="Q32" i="56"/>
  <c r="S10" i="58"/>
  <c r="S11" s="1"/>
  <c r="Q10"/>
  <c r="E63" i="62" s="1"/>
  <c r="Y12" i="58"/>
  <c r="F65" i="62" s="1"/>
  <c r="D83"/>
  <c r="I32" i="54"/>
  <c r="D79" i="62"/>
  <c r="I28" i="54"/>
  <c r="Q30" i="58"/>
  <c r="E81" i="62" s="1"/>
  <c r="M30" i="54"/>
  <c r="E84" i="62"/>
  <c r="Y32" i="58"/>
  <c r="F83" i="62" s="1"/>
  <c r="Q32" i="54"/>
  <c r="Y28" i="58"/>
  <c r="F79" i="62" s="1"/>
  <c r="Q28" i="54"/>
  <c r="I68" i="58"/>
  <c r="G81" i="62" s="1"/>
  <c r="G84"/>
  <c r="I37" i="58"/>
  <c r="D88" i="62" s="1"/>
  <c r="F88"/>
  <c r="I31" i="60"/>
  <c r="I31" i="56"/>
  <c r="I35" i="60"/>
  <c r="I35" i="56"/>
  <c r="Q31" i="60"/>
  <c r="M31" i="56"/>
  <c r="Q35" i="60"/>
  <c r="M35" i="56"/>
  <c r="Y31" i="60"/>
  <c r="Q31" i="56"/>
  <c r="Y35" i="60"/>
  <c r="Q35" i="56"/>
  <c r="I76" i="60"/>
  <c r="Q17" i="56"/>
  <c r="Q17" i="119" s="1"/>
  <c r="AA6" i="58"/>
  <c r="AA7" s="1"/>
  <c r="Y6"/>
  <c r="F57" i="62" s="1"/>
  <c r="K48" i="58"/>
  <c r="K49" s="1"/>
  <c r="I48"/>
  <c r="G63" i="62" s="1"/>
  <c r="I30" i="58"/>
  <c r="D81" i="62" s="1"/>
  <c r="I30" i="54"/>
  <c r="Q28" i="58"/>
  <c r="E79" i="62" s="1"/>
  <c r="M28" i="54"/>
  <c r="F84" i="62"/>
  <c r="I70" i="58"/>
  <c r="G83" i="62" s="1"/>
  <c r="I75" i="58"/>
  <c r="G88" i="62" s="1"/>
  <c r="I29" i="56"/>
  <c r="Q33" i="60"/>
  <c r="Q31" i="122" s="1"/>
  <c r="M33" i="56"/>
  <c r="Y33" i="60"/>
  <c r="Y31" i="122" s="1"/>
  <c r="Q33" i="56"/>
  <c r="I74" i="60"/>
  <c r="I78"/>
  <c r="I73" i="122" s="1"/>
  <c r="AA10" i="58"/>
  <c r="AA11" s="1"/>
  <c r="Y10"/>
  <c r="F63" i="62" s="1"/>
  <c r="D82"/>
  <c r="I31" i="54"/>
  <c r="F82" i="62"/>
  <c r="Q31" i="54"/>
  <c r="G87" i="62"/>
  <c r="I32" i="60"/>
  <c r="I32" i="56"/>
  <c r="Q32" i="60"/>
  <c r="M32" i="56"/>
  <c r="E195" i="62"/>
  <c r="K44" i="58"/>
  <c r="K45" s="1"/>
  <c r="I44"/>
  <c r="G57" i="62" s="1"/>
  <c r="K46" i="58"/>
  <c r="K47" s="1"/>
  <c r="I46"/>
  <c r="G60" i="62" s="1"/>
  <c r="S12" i="58"/>
  <c r="S13" s="1"/>
  <c r="Q12"/>
  <c r="E65" i="62" s="1"/>
  <c r="D77"/>
  <c r="Y26" i="58"/>
  <c r="F77" i="62" s="1"/>
  <c r="Q26" i="54"/>
  <c r="I29" i="58"/>
  <c r="D80" i="62" s="1"/>
  <c r="E82"/>
  <c r="M31" i="54"/>
  <c r="Q27" i="58"/>
  <c r="E78" i="62" s="1"/>
  <c r="M27" i="54"/>
  <c r="Y29" i="58"/>
  <c r="F80" i="62" s="1"/>
  <c r="Q29" i="54"/>
  <c r="G82" i="62"/>
  <c r="I65" i="58"/>
  <c r="G78" i="62" s="1"/>
  <c r="I36" i="58"/>
  <c r="D87" i="62" s="1"/>
  <c r="Y36" i="58"/>
  <c r="F87" i="62" s="1"/>
  <c r="Q36" i="54"/>
  <c r="I30" i="60"/>
  <c r="I30" i="56"/>
  <c r="Q30" i="60"/>
  <c r="M30" i="56"/>
  <c r="M34"/>
  <c r="Y30" i="60"/>
  <c r="Q30" i="56"/>
  <c r="Q34"/>
  <c r="I75" i="60"/>
  <c r="M17" i="56"/>
  <c r="L17" i="119" s="1"/>
  <c r="I53" i="60"/>
  <c r="Y6"/>
  <c r="L6" i="10"/>
  <c r="L7" s="1"/>
  <c r="L8" s="1"/>
  <c r="L9"/>
  <c r="L10" s="1"/>
  <c r="L11" s="1"/>
  <c r="I9" i="46"/>
  <c r="D7" i="62" s="1"/>
  <c r="L24" i="10"/>
  <c r="K24" i="46" s="1"/>
  <c r="X86" i="10"/>
  <c r="Z86" s="1"/>
  <c r="AA14" i="122" s="1"/>
  <c r="AE86" i="10"/>
  <c r="AG86" s="1"/>
  <c r="K56" i="122" s="1"/>
  <c r="P86" i="10"/>
  <c r="Q14" i="122" s="1"/>
  <c r="I60" i="46"/>
  <c r="G17" i="62" s="1"/>
  <c r="I62" i="46"/>
  <c r="G19" i="62" s="1"/>
  <c r="Y20" i="58"/>
  <c r="F73" i="62" s="1"/>
  <c r="Y20" i="46"/>
  <c r="F17" i="62" s="1"/>
  <c r="Y21" i="46"/>
  <c r="F18" i="62" s="1"/>
  <c r="Y22" i="46"/>
  <c r="F19" i="62" s="1"/>
  <c r="Q19" i="58"/>
  <c r="E72" i="62" s="1"/>
  <c r="Q20" i="58"/>
  <c r="E73" i="62" s="1"/>
  <c r="Y18" i="58"/>
  <c r="F71" i="62" s="1"/>
  <c r="Q20" i="46"/>
  <c r="E17" i="62" s="1"/>
  <c r="Q22" i="46"/>
  <c r="E19" i="62" s="1"/>
  <c r="J55" i="10"/>
  <c r="Q21" i="122"/>
  <c r="U21" s="1"/>
  <c r="W21" s="1"/>
  <c r="Y21"/>
  <c r="AC21" s="1"/>
  <c r="AE21" s="1"/>
  <c r="Z86" i="24" l="1"/>
  <c r="P36" i="74" s="1"/>
  <c r="AF36" s="1"/>
  <c r="AR36" s="1"/>
  <c r="Z80" i="24"/>
  <c r="Z81" s="1"/>
  <c r="Z78"/>
  <c r="Z79" s="1"/>
  <c r="S86"/>
  <c r="I63" i="120"/>
  <c r="M63" s="1"/>
  <c r="O63" s="1"/>
  <c r="AQ6" i="60"/>
  <c r="AQ6" i="122"/>
  <c r="J71" i="7"/>
  <c r="Q91" i="10"/>
  <c r="S91" s="1"/>
  <c r="S19" i="120" s="1"/>
  <c r="Q19" i="60"/>
  <c r="Q19" i="122"/>
  <c r="U19" s="1"/>
  <c r="W19" s="1"/>
  <c r="J60" i="7"/>
  <c r="K60"/>
  <c r="Q91" i="24"/>
  <c r="K61" i="122"/>
  <c r="K15" i="121"/>
  <c r="AS7" i="60"/>
  <c r="E182" i="62"/>
  <c r="J93" i="24"/>
  <c r="I21" i="115"/>
  <c r="AE93" i="24"/>
  <c r="I19" i="115"/>
  <c r="G127" i="69" s="1"/>
  <c r="AE91" i="24"/>
  <c r="I63" i="122"/>
  <c r="M63" s="1"/>
  <c r="O63" s="1"/>
  <c r="I61"/>
  <c r="M61" s="1"/>
  <c r="O61" s="1"/>
  <c r="Y19"/>
  <c r="AC19" s="1"/>
  <c r="AE19" s="1"/>
  <c r="I21"/>
  <c r="M21" s="1"/>
  <c r="O21" s="1"/>
  <c r="J93" i="10"/>
  <c r="L93" s="1"/>
  <c r="Q93" i="24"/>
  <c r="K41" i="74" s="1"/>
  <c r="AC41" s="1"/>
  <c r="AO41" s="1"/>
  <c r="AA19" i="122"/>
  <c r="AA18"/>
  <c r="J42" i="7"/>
  <c r="S22" i="121"/>
  <c r="Q19"/>
  <c r="U19" s="1"/>
  <c r="W19" s="1"/>
  <c r="F216" i="62"/>
  <c r="Q21" i="121"/>
  <c r="U21" s="1"/>
  <c r="W21" s="1"/>
  <c r="J91" i="10"/>
  <c r="L91" s="1"/>
  <c r="K19" i="120" s="1"/>
  <c r="I60" i="121"/>
  <c r="I69" i="122"/>
  <c r="I62" i="121"/>
  <c r="I71" i="122"/>
  <c r="Y27" i="121"/>
  <c r="Y29" i="122"/>
  <c r="Q27" i="121"/>
  <c r="Q29" i="122"/>
  <c r="I27" i="121"/>
  <c r="I29" i="122"/>
  <c r="I61" i="121"/>
  <c r="I70" i="122"/>
  <c r="Q26" i="121"/>
  <c r="Q28" i="122"/>
  <c r="I26" i="121"/>
  <c r="I28" i="122"/>
  <c r="Q28" i="121"/>
  <c r="Q30" i="122"/>
  <c r="I28" i="121"/>
  <c r="I30" i="122"/>
  <c r="S16" i="60"/>
  <c r="S16" i="122"/>
  <c r="AA16" i="60"/>
  <c r="AA16" i="122"/>
  <c r="S12" i="121"/>
  <c r="S13" s="1"/>
  <c r="S12" i="122"/>
  <c r="S13" s="1"/>
  <c r="K65" i="120"/>
  <c r="K64" i="122"/>
  <c r="Y26" i="121"/>
  <c r="Y28" i="122"/>
  <c r="Y31" i="121"/>
  <c r="Y33" i="122"/>
  <c r="Q31" i="121"/>
  <c r="Q33" i="122"/>
  <c r="I31" i="121"/>
  <c r="I33" i="122"/>
  <c r="Y28" i="121"/>
  <c r="Y30" i="122"/>
  <c r="Y25" i="121"/>
  <c r="Y27" i="122"/>
  <c r="Q25" i="121"/>
  <c r="Q27" i="122"/>
  <c r="K61" i="60"/>
  <c r="K58" i="122"/>
  <c r="AA12" i="121"/>
  <c r="AA13" s="1"/>
  <c r="AA12" i="122"/>
  <c r="AA13" s="1"/>
  <c r="S10" i="121"/>
  <c r="S11" s="1"/>
  <c r="S10" i="122"/>
  <c r="S11" s="1"/>
  <c r="K43" i="121"/>
  <c r="K44" s="1"/>
  <c r="K50" i="122"/>
  <c r="K51" s="1"/>
  <c r="K41" i="121"/>
  <c r="K42" s="1"/>
  <c r="K48" i="122"/>
  <c r="K49" s="1"/>
  <c r="AA10" i="121"/>
  <c r="AA11" s="1"/>
  <c r="AA10" i="122"/>
  <c r="AA11" s="1"/>
  <c r="J91" i="24"/>
  <c r="K36" i="74"/>
  <c r="AC36" s="1"/>
  <c r="AO36" s="1"/>
  <c r="K54" i="58"/>
  <c r="P32" i="74"/>
  <c r="AF32" s="1"/>
  <c r="AR32" s="1"/>
  <c r="P33"/>
  <c r="AF33" s="1"/>
  <c r="AR33" s="1"/>
  <c r="R43"/>
  <c r="I22" i="115"/>
  <c r="V21" i="119" s="1"/>
  <c r="I16" i="46"/>
  <c r="D13" i="62" s="1"/>
  <c r="J59" i="10"/>
  <c r="L59" s="1"/>
  <c r="K22" i="58" s="1"/>
  <c r="M64" i="120"/>
  <c r="O64" s="1"/>
  <c r="Z91" i="24"/>
  <c r="Z93"/>
  <c r="J58" i="10"/>
  <c r="L58" s="1"/>
  <c r="K21" i="58" s="1"/>
  <c r="D108" i="62" s="1"/>
  <c r="AE59" i="10"/>
  <c r="AG59" s="1"/>
  <c r="I60" i="58"/>
  <c r="Q24" i="10"/>
  <c r="S24" s="1"/>
  <c r="S24" i="46" s="1"/>
  <c r="Q24"/>
  <c r="Q59" i="10"/>
  <c r="S22" i="58" s="1"/>
  <c r="Q22"/>
  <c r="X24" i="10"/>
  <c r="Z24" s="1"/>
  <c r="AA24" i="46" s="1"/>
  <c r="Y24"/>
  <c r="AA22" i="58"/>
  <c r="Y22"/>
  <c r="AE24" i="10"/>
  <c r="AG24" s="1"/>
  <c r="K64" i="46" s="1"/>
  <c r="I64"/>
  <c r="H16" i="112"/>
  <c r="G16"/>
  <c r="Q22" i="121"/>
  <c r="U22" s="1"/>
  <c r="W22" s="1"/>
  <c r="K63" i="7"/>
  <c r="Y22" i="121"/>
  <c r="AC22" s="1"/>
  <c r="AE22" s="1"/>
  <c r="I57"/>
  <c r="I22"/>
  <c r="L94" i="10"/>
  <c r="J63" i="7"/>
  <c r="O43" i="74"/>
  <c r="I14" i="121"/>
  <c r="Y21" i="120"/>
  <c r="AC21" s="1"/>
  <c r="AE21" s="1"/>
  <c r="Y21" i="121"/>
  <c r="AC21" s="1"/>
  <c r="AE21" s="1"/>
  <c r="Q14" i="120"/>
  <c r="Y19" i="121"/>
  <c r="AC19" s="1"/>
  <c r="AE19" s="1"/>
  <c r="I21" i="120"/>
  <c r="M21" s="1"/>
  <c r="O21" s="1"/>
  <c r="I21" i="121"/>
  <c r="I10" i="120"/>
  <c r="I10" i="121"/>
  <c r="I8" i="120"/>
  <c r="I8" i="121"/>
  <c r="I15" i="120"/>
  <c r="I54" i="121"/>
  <c r="M54" s="1"/>
  <c r="O54" s="1"/>
  <c r="I19"/>
  <c r="M19" s="1"/>
  <c r="O19" s="1"/>
  <c r="I14" i="120"/>
  <c r="I12"/>
  <c r="I12" i="121"/>
  <c r="I6" i="120"/>
  <c r="I6" i="121"/>
  <c r="AA14" i="120"/>
  <c r="K63"/>
  <c r="K56" i="121"/>
  <c r="I73" i="120"/>
  <c r="K64"/>
  <c r="K57" i="121"/>
  <c r="K56" i="120"/>
  <c r="Y31"/>
  <c r="AA22"/>
  <c r="AA22" i="121"/>
  <c r="K52" i="120"/>
  <c r="K53" s="1"/>
  <c r="K45" i="121"/>
  <c r="K46" s="1"/>
  <c r="AA8"/>
  <c r="AA9" s="1"/>
  <c r="AA15" i="120"/>
  <c r="AA6" i="121"/>
  <c r="AA7" s="1"/>
  <c r="K54" i="120"/>
  <c r="K55" s="1"/>
  <c r="K47" i="121"/>
  <c r="K48" s="1"/>
  <c r="K57" i="120"/>
  <c r="S8" i="121"/>
  <c r="S9" s="1"/>
  <c r="S15" i="120"/>
  <c r="L127" i="10"/>
  <c r="J86"/>
  <c r="L86" s="1"/>
  <c r="Q21" i="120"/>
  <c r="U21" s="1"/>
  <c r="W21" s="1"/>
  <c r="I23" i="61"/>
  <c r="K42" i="74"/>
  <c r="AC42" s="1"/>
  <c r="AO42" s="1"/>
  <c r="I22" i="61"/>
  <c r="D21" i="69" s="1"/>
  <c r="K43" i="74"/>
  <c r="AC43" s="1"/>
  <c r="AO43" s="1"/>
  <c r="K38"/>
  <c r="AC38" s="1"/>
  <c r="AO38" s="1"/>
  <c r="AA12" i="120"/>
  <c r="AA13" s="1"/>
  <c r="S10"/>
  <c r="S11" s="1"/>
  <c r="AA10"/>
  <c r="AA11" s="1"/>
  <c r="S12"/>
  <c r="S13" s="1"/>
  <c r="J13" i="7"/>
  <c r="G5" i="112"/>
  <c r="S22" i="120"/>
  <c r="G24" i="112"/>
  <c r="J34" i="7"/>
  <c r="K49"/>
  <c r="K47"/>
  <c r="M53"/>
  <c r="M51"/>
  <c r="J86" i="24"/>
  <c r="J55" i="7"/>
  <c r="J57"/>
  <c r="J19"/>
  <c r="I12" i="61"/>
  <c r="D11" i="69" s="1"/>
  <c r="J9" i="7"/>
  <c r="J126" i="10"/>
  <c r="K7" i="117"/>
  <c r="H24" i="119" s="1"/>
  <c r="K6" i="117"/>
  <c r="H23" i="119" s="1"/>
  <c r="L23" i="24"/>
  <c r="I15" i="74" s="1"/>
  <c r="L17" i="24"/>
  <c r="I9" i="74" s="1"/>
  <c r="L16" i="24"/>
  <c r="K16" i="61" s="1"/>
  <c r="K12" i="58"/>
  <c r="K13" s="1"/>
  <c r="L50" i="10"/>
  <c r="AA8" i="120"/>
  <c r="AA9" s="1"/>
  <c r="Z81" i="10"/>
  <c r="K50" i="120"/>
  <c r="K51" s="1"/>
  <c r="AG81" i="10"/>
  <c r="S8" i="120"/>
  <c r="S9" s="1"/>
  <c r="S81" i="10"/>
  <c r="AA6" i="120"/>
  <c r="AA7" s="1"/>
  <c r="Z79" i="10"/>
  <c r="K48" i="120"/>
  <c r="K49" s="1"/>
  <c r="AG79" i="10"/>
  <c r="J88" i="24"/>
  <c r="L88" s="1"/>
  <c r="I38" i="74" s="1"/>
  <c r="AG81" i="24"/>
  <c r="AG79"/>
  <c r="S12" i="46"/>
  <c r="E41" i="62" s="1"/>
  <c r="S13" i="10"/>
  <c r="AA12" i="46"/>
  <c r="F41" i="62" s="1"/>
  <c r="Z13" i="10"/>
  <c r="K52" i="46"/>
  <c r="K53" s="1"/>
  <c r="G42" i="62" s="1"/>
  <c r="AG13" i="10"/>
  <c r="S14" i="46"/>
  <c r="E43" i="62" s="1"/>
  <c r="S15" i="10"/>
  <c r="AA14" i="46"/>
  <c r="F43" i="62" s="1"/>
  <c r="Z15" i="10"/>
  <c r="K54" i="46"/>
  <c r="K55" s="1"/>
  <c r="AG15" i="10"/>
  <c r="K46" i="46"/>
  <c r="K47" s="1"/>
  <c r="K48" s="1"/>
  <c r="G38" i="62" s="1"/>
  <c r="AG7" i="10"/>
  <c r="AG8" s="1"/>
  <c r="L12" i="24"/>
  <c r="L13" s="1"/>
  <c r="G123" i="69"/>
  <c r="V15" i="119"/>
  <c r="G122" i="69"/>
  <c r="V14" i="119"/>
  <c r="G124" i="69"/>
  <c r="V16" i="119"/>
  <c r="Q6"/>
  <c r="Q20"/>
  <c r="Q8"/>
  <c r="Q19"/>
  <c r="Q18"/>
  <c r="J87" i="10"/>
  <c r="L87" s="1"/>
  <c r="K15" i="122" s="1"/>
  <c r="I46" i="46"/>
  <c r="G5" i="62" s="1"/>
  <c r="I14" i="60"/>
  <c r="D177" i="62" s="1"/>
  <c r="I10" i="60"/>
  <c r="D173" i="62" s="1"/>
  <c r="J88" i="10"/>
  <c r="L88" s="1"/>
  <c r="I16" i="61"/>
  <c r="K8" i="115"/>
  <c r="W8" i="119" s="1"/>
  <c r="S33" i="74"/>
  <c r="AH33" s="1"/>
  <c r="AT33" s="1"/>
  <c r="K15" i="115"/>
  <c r="S37" i="74"/>
  <c r="AH37" s="1"/>
  <c r="AT37" s="1"/>
  <c r="K20" i="114"/>
  <c r="G107" i="69" s="1"/>
  <c r="S28" i="74"/>
  <c r="AH28" s="1"/>
  <c r="AT28" s="1"/>
  <c r="K18" i="114"/>
  <c r="G105" i="69" s="1"/>
  <c r="S26" i="74"/>
  <c r="AH26" s="1"/>
  <c r="AT26" s="1"/>
  <c r="K22" i="115"/>
  <c r="W21" i="119" s="1"/>
  <c r="S43" i="74"/>
  <c r="AH43" s="1"/>
  <c r="AT43" s="1"/>
  <c r="K6" i="115"/>
  <c r="W6" i="119" s="1"/>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8" i="120"/>
  <c r="I71"/>
  <c r="Y33"/>
  <c r="Y29"/>
  <c r="E194" i="62"/>
  <c r="Q33" i="120"/>
  <c r="E190" i="62"/>
  <c r="Q29" i="120"/>
  <c r="Y30"/>
  <c r="Y27"/>
  <c r="E188" i="62"/>
  <c r="Q27" i="120"/>
  <c r="V19" i="119"/>
  <c r="V18"/>
  <c r="V20"/>
  <c r="G114" i="69"/>
  <c r="I70" i="120"/>
  <c r="E189" i="62"/>
  <c r="Q28" i="120"/>
  <c r="E191" i="62"/>
  <c r="Q30" i="120"/>
  <c r="I69"/>
  <c r="E192" i="62"/>
  <c r="Q31" i="120"/>
  <c r="AG84" i="24"/>
  <c r="I12" i="115"/>
  <c r="V12" i="119" s="1"/>
  <c r="AG82" i="24"/>
  <c r="I10" i="115"/>
  <c r="V10" i="119" s="1"/>
  <c r="G116" i="69"/>
  <c r="L94" i="24"/>
  <c r="I43" i="74" s="1"/>
  <c r="G43" i="112"/>
  <c r="L86" i="24"/>
  <c r="I36" i="74" s="1"/>
  <c r="L51" i="24"/>
  <c r="I22" i="74" s="1"/>
  <c r="I33" i="120"/>
  <c r="I30"/>
  <c r="I29"/>
  <c r="I28"/>
  <c r="I27"/>
  <c r="I6" i="56"/>
  <c r="G6" i="119" s="1"/>
  <c r="I42" i="74"/>
  <c r="R41"/>
  <c r="R40"/>
  <c r="R42"/>
  <c r="I14" i="54"/>
  <c r="D69" i="69" s="1"/>
  <c r="G42" i="112"/>
  <c r="L93" i="24"/>
  <c r="X82"/>
  <c r="O34" i="74" s="1"/>
  <c r="L40"/>
  <c r="AE84" i="24"/>
  <c r="R35" i="74" s="1"/>
  <c r="AE82" i="24"/>
  <c r="R34" i="74" s="1"/>
  <c r="I16" i="54"/>
  <c r="D71" i="69" s="1"/>
  <c r="I14" i="56"/>
  <c r="G14" i="119"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M19" i="56"/>
  <c r="E127" i="69" s="1"/>
  <c r="I14" i="46"/>
  <c r="D11" i="62" s="1"/>
  <c r="L18" i="10"/>
  <c r="K18" i="46" s="1"/>
  <c r="I18"/>
  <c r="D15" i="62" s="1"/>
  <c r="L91" i="24"/>
  <c r="J40" i="74"/>
  <c r="AB40" s="1"/>
  <c r="AN40" s="1"/>
  <c r="O10" i="56"/>
  <c r="Q14" i="46"/>
  <c r="E11" i="62" s="1"/>
  <c r="N40" i="74"/>
  <c r="AE40" s="1"/>
  <c r="AQ40" s="1"/>
  <c r="S19" i="56"/>
  <c r="F160" i="69" s="1"/>
  <c r="M43" i="74"/>
  <c r="AD43" s="1"/>
  <c r="AP43" s="1"/>
  <c r="G26"/>
  <c r="Z26" s="1"/>
  <c r="AL26" s="1"/>
  <c r="J33"/>
  <c r="AB33" s="1"/>
  <c r="AN33" s="1"/>
  <c r="J78" i="24"/>
  <c r="L78" s="1"/>
  <c r="L79" s="1"/>
  <c r="I19" i="56"/>
  <c r="J14" i="24"/>
  <c r="L14" s="1"/>
  <c r="L15" s="1"/>
  <c r="I52" i="46"/>
  <c r="G9" i="62" s="1"/>
  <c r="Y14" i="46"/>
  <c r="F11" i="62" s="1"/>
  <c r="J32" i="74"/>
  <c r="AB32" s="1"/>
  <c r="AN32" s="1"/>
  <c r="J80" i="24"/>
  <c r="Q12" i="46"/>
  <c r="E9" i="62" s="1"/>
  <c r="G7" i="74"/>
  <c r="Z7" s="1"/>
  <c r="AL7" s="1"/>
  <c r="AA22" i="60"/>
  <c r="K67"/>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G20" i="119"/>
  <c r="G6" i="74"/>
  <c r="Z6" s="1"/>
  <c r="AL6" s="1"/>
  <c r="I8" i="56"/>
  <c r="G8" i="119" s="1"/>
  <c r="I35" i="74"/>
  <c r="G24"/>
  <c r="Z24" s="1"/>
  <c r="AL24" s="1"/>
  <c r="S22" i="54"/>
  <c r="O22"/>
  <c r="M6" i="56"/>
  <c r="Q80" i="24"/>
  <c r="L33" i="74" s="1"/>
  <c r="O15" i="56"/>
  <c r="I9" i="61"/>
  <c r="J59" i="24"/>
  <c r="L59" s="1"/>
  <c r="J6"/>
  <c r="I14" i="61"/>
  <c r="J55" i="24"/>
  <c r="I22" i="46"/>
  <c r="D19" i="62" s="1"/>
  <c r="J84" i="10"/>
  <c r="L84" s="1"/>
  <c r="I16" i="58"/>
  <c r="D69" i="62" s="1"/>
  <c r="H5" i="74"/>
  <c r="AA5" s="1"/>
  <c r="AM5" s="1"/>
  <c r="Q22" i="56"/>
  <c r="Q78" i="24"/>
  <c r="L32" i="74" s="1"/>
  <c r="E134" i="69"/>
  <c r="F89"/>
  <c r="E140"/>
  <c r="D84"/>
  <c r="F80"/>
  <c r="D80"/>
  <c r="E79"/>
  <c r="D137"/>
  <c r="D86"/>
  <c r="F67"/>
  <c r="E76"/>
  <c r="E129"/>
  <c r="E73"/>
  <c r="F13"/>
  <c r="E63"/>
  <c r="F65"/>
  <c r="D75"/>
  <c r="E84"/>
  <c r="E81"/>
  <c r="D122"/>
  <c r="F76"/>
  <c r="F70"/>
  <c r="F63"/>
  <c r="E67"/>
  <c r="E61"/>
  <c r="E75"/>
  <c r="F16"/>
  <c r="F19"/>
  <c r="F5"/>
  <c r="F69"/>
  <c r="D74"/>
  <c r="F129"/>
  <c r="F138"/>
  <c r="E138"/>
  <c r="D138"/>
  <c r="F79"/>
  <c r="E136"/>
  <c r="E135"/>
  <c r="F85"/>
  <c r="E86"/>
  <c r="D81"/>
  <c r="E133"/>
  <c r="F83"/>
  <c r="E85"/>
  <c r="E124"/>
  <c r="F71"/>
  <c r="E70"/>
  <c r="D123"/>
  <c r="E123"/>
  <c r="F21"/>
  <c r="F20"/>
  <c r="F11"/>
  <c r="M8" i="56"/>
  <c r="L8" i="119" s="1"/>
  <c r="D79" i="69"/>
  <c r="F84"/>
  <c r="D125"/>
  <c r="E139"/>
  <c r="F90"/>
  <c r="F81"/>
  <c r="E83"/>
  <c r="D85"/>
  <c r="E89"/>
  <c r="E82"/>
  <c r="E90"/>
  <c r="F75"/>
  <c r="F123"/>
  <c r="E130"/>
  <c r="F17"/>
  <c r="F114"/>
  <c r="F74"/>
  <c r="F86"/>
  <c r="D83"/>
  <c r="F125"/>
  <c r="E125"/>
  <c r="F82"/>
  <c r="E80"/>
  <c r="F137"/>
  <c r="E137"/>
  <c r="F124"/>
  <c r="F73"/>
  <c r="E65"/>
  <c r="E122"/>
  <c r="E71"/>
  <c r="F122"/>
  <c r="D70"/>
  <c r="E69"/>
  <c r="F8"/>
  <c r="F22"/>
  <c r="F15"/>
  <c r="F116"/>
  <c r="F61"/>
  <c r="I18" i="54"/>
  <c r="I22"/>
  <c r="I21" i="56"/>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7" i="60"/>
  <c r="G185" i="62" s="1"/>
  <c r="Q21" i="46"/>
  <c r="E18" i="62" s="1"/>
  <c r="I22" i="56"/>
  <c r="I17" i="46"/>
  <c r="D14" i="62" s="1"/>
  <c r="I19" i="60"/>
  <c r="Q17" i="46"/>
  <c r="E14" i="62" s="1"/>
  <c r="Y22" i="60"/>
  <c r="F185" i="62" s="1"/>
  <c r="Y17" i="46"/>
  <c r="F14" i="62" s="1"/>
  <c r="I57" i="46"/>
  <c r="G14" i="62" s="1"/>
  <c r="I21" i="54"/>
  <c r="I63" i="46"/>
  <c r="G20" i="62" s="1"/>
  <c r="Q16" i="46"/>
  <c r="E13" i="62" s="1"/>
  <c r="Y16" i="46"/>
  <c r="F13" i="62" s="1"/>
  <c r="G13"/>
  <c r="Q23" i="46"/>
  <c r="E20" i="62" s="1"/>
  <c r="I23" i="46"/>
  <c r="D20" i="62" s="1"/>
  <c r="Y23" i="46"/>
  <c r="F20" i="62" s="1"/>
  <c r="I18" i="58"/>
  <c r="D71" i="62" s="1"/>
  <c r="L55" i="10"/>
  <c r="K18" i="58" s="1"/>
  <c r="E39" i="62"/>
  <c r="S10" i="46"/>
  <c r="S11" s="1"/>
  <c r="E40" i="62" s="1"/>
  <c r="AA15" i="46"/>
  <c r="E37" i="62"/>
  <c r="S7" i="46"/>
  <c r="S8" s="1"/>
  <c r="E38" i="62" s="1"/>
  <c r="F37"/>
  <c r="AA7" i="46"/>
  <c r="AA8" s="1"/>
  <c r="F38" i="62" s="1"/>
  <c r="F39"/>
  <c r="AA10" i="46"/>
  <c r="AA11" s="1"/>
  <c r="F40" i="62" s="1"/>
  <c r="G43"/>
  <c r="S15" i="46"/>
  <c r="AA13"/>
  <c r="F42" i="62" s="1"/>
  <c r="G39"/>
  <c r="G40"/>
  <c r="I12" i="58"/>
  <c r="D65" i="62" s="1"/>
  <c r="S19" i="54"/>
  <c r="O19"/>
  <c r="Y19" i="58"/>
  <c r="F72" i="62" s="1"/>
  <c r="L43" i="10"/>
  <c r="L44" s="1"/>
  <c r="K20" i="54"/>
  <c r="L53" i="10"/>
  <c r="S18" i="46"/>
  <c r="E47" i="62" s="1"/>
  <c r="K57" i="58"/>
  <c r="Q6"/>
  <c r="E57" i="62" s="1"/>
  <c r="E13" i="69"/>
  <c r="D16"/>
  <c r="E22"/>
  <c r="E17"/>
  <c r="E15"/>
  <c r="E11"/>
  <c r="E5"/>
  <c r="E74"/>
  <c r="E16"/>
  <c r="E8"/>
  <c r="D22"/>
  <c r="D20"/>
  <c r="E20"/>
  <c r="D19"/>
  <c r="D15"/>
  <c r="E21"/>
  <c r="E19"/>
  <c r="D139"/>
  <c r="F140"/>
  <c r="D140"/>
  <c r="F134"/>
  <c r="D134"/>
  <c r="F135"/>
  <c r="D135"/>
  <c r="D136"/>
  <c r="F139"/>
  <c r="F136"/>
  <c r="D133"/>
  <c r="F133"/>
  <c r="L21" i="10"/>
  <c r="K21" i="46" s="1"/>
  <c r="K58" i="58"/>
  <c r="I8" i="60"/>
  <c r="D170" i="62" s="1"/>
  <c r="L56" i="10"/>
  <c r="K19" i="58" s="1"/>
  <c r="D106" i="62" s="1"/>
  <c r="G195"/>
  <c r="F195"/>
  <c r="G192"/>
  <c r="G191"/>
  <c r="G194"/>
  <c r="G188"/>
  <c r="G189"/>
  <c r="G190"/>
  <c r="F194"/>
  <c r="F192"/>
  <c r="F191"/>
  <c r="F188"/>
  <c r="F189"/>
  <c r="F190"/>
  <c r="D192"/>
  <c r="D188"/>
  <c r="D191"/>
  <c r="D194"/>
  <c r="D189"/>
  <c r="D190"/>
  <c r="D195"/>
  <c r="G184"/>
  <c r="G170"/>
  <c r="G178"/>
  <c r="G173"/>
  <c r="G177"/>
  <c r="G175"/>
  <c r="F175"/>
  <c r="F177"/>
  <c r="F178"/>
  <c r="F173"/>
  <c r="F167"/>
  <c r="D185"/>
  <c r="D178"/>
  <c r="D184"/>
  <c r="AA18" i="46"/>
  <c r="F47" i="62" s="1"/>
  <c r="I58" i="46"/>
  <c r="G15" i="62" s="1"/>
  <c r="Y21" i="60"/>
  <c r="I6"/>
  <c r="J78" i="10"/>
  <c r="L78" s="1"/>
  <c r="K6" i="122" s="1"/>
  <c r="K7" s="1"/>
  <c r="AA12" i="60"/>
  <c r="AA13" s="1"/>
  <c r="S22"/>
  <c r="AA15"/>
  <c r="K15"/>
  <c r="I64"/>
  <c r="G182" i="62" s="1"/>
  <c r="K55" i="60"/>
  <c r="K56" s="1"/>
  <c r="S10"/>
  <c r="AA14"/>
  <c r="K60"/>
  <c r="Q14"/>
  <c r="E177" i="62" s="1"/>
  <c r="K22" i="60"/>
  <c r="K66"/>
  <c r="S15"/>
  <c r="E213" i="62" s="1"/>
  <c r="Q21" i="60"/>
  <c r="Y19"/>
  <c r="K59"/>
  <c r="K57"/>
  <c r="K58" s="1"/>
  <c r="J80" i="10"/>
  <c r="L80" s="1"/>
  <c r="K8" i="122" s="1"/>
  <c r="K9" s="1"/>
  <c r="S6" i="56"/>
  <c r="S8"/>
  <c r="G52" i="62"/>
  <c r="G101"/>
  <c r="E103"/>
  <c r="G102"/>
  <c r="D102"/>
  <c r="F46"/>
  <c r="G47"/>
  <c r="G108"/>
  <c r="E102"/>
  <c r="F52"/>
  <c r="D107"/>
  <c r="G46"/>
  <c r="E46"/>
  <c r="E108"/>
  <c r="G103"/>
  <c r="D101"/>
  <c r="E101"/>
  <c r="E52"/>
  <c r="K22" i="61"/>
  <c r="K20"/>
  <c r="S17"/>
  <c r="S9"/>
  <c r="O23"/>
  <c r="O21"/>
  <c r="O18"/>
  <c r="O16"/>
  <c r="O12"/>
  <c r="O6"/>
  <c r="S23"/>
  <c r="S20"/>
  <c r="S16"/>
  <c r="S6"/>
  <c r="K21"/>
  <c r="K18"/>
  <c r="S22"/>
  <c r="S14"/>
  <c r="O22"/>
  <c r="O20"/>
  <c r="O17"/>
  <c r="O14"/>
  <c r="O9"/>
  <c r="S21"/>
  <c r="S18"/>
  <c r="S12"/>
  <c r="S21" i="46"/>
  <c r="G98" i="62"/>
  <c r="G100"/>
  <c r="E100"/>
  <c r="E98"/>
  <c r="F98"/>
  <c r="F100"/>
  <c r="K14" i="56"/>
  <c r="H14" i="119" s="1"/>
  <c r="M20"/>
  <c r="S16" i="56"/>
  <c r="R16" i="119" s="1"/>
  <c r="S20" i="54"/>
  <c r="S15"/>
  <c r="S12"/>
  <c r="S13" s="1"/>
  <c r="K21"/>
  <c r="S6"/>
  <c r="S10"/>
  <c r="S11" s="1"/>
  <c r="K15"/>
  <c r="O18"/>
  <c r="M12" i="56"/>
  <c r="L12" i="119" s="1"/>
  <c r="S21" i="56"/>
  <c r="O16"/>
  <c r="M16" i="119" s="1"/>
  <c r="S21" i="54"/>
  <c r="S16"/>
  <c r="S14"/>
  <c r="O10"/>
  <c r="O11" s="1"/>
  <c r="O14" i="56"/>
  <c r="M14" i="119" s="1"/>
  <c r="O21" i="54"/>
  <c r="O16"/>
  <c r="O12"/>
  <c r="O13" s="1"/>
  <c r="O8"/>
  <c r="S14" i="56"/>
  <c r="R14" i="119" s="1"/>
  <c r="O22" i="56"/>
  <c r="M21" i="119" s="1"/>
  <c r="O20" i="54"/>
  <c r="O14"/>
  <c r="M10" i="56"/>
  <c r="L10" i="119" s="1"/>
  <c r="S18" i="54"/>
  <c r="S8"/>
  <c r="O15"/>
  <c r="K15" i="56"/>
  <c r="H15" i="119" s="1"/>
  <c r="S15" i="56"/>
  <c r="R15" i="119" s="1"/>
  <c r="O6" i="54"/>
  <c r="Q10" i="56"/>
  <c r="Q12"/>
  <c r="Q8" i="60"/>
  <c r="E170" i="62" s="1"/>
  <c r="I51" i="60"/>
  <c r="Y8"/>
  <c r="AA14" i="58"/>
  <c r="AA19"/>
  <c r="AA21"/>
  <c r="AA16"/>
  <c r="S18"/>
  <c r="K56"/>
  <c r="AA15"/>
  <c r="AA8" i="60"/>
  <c r="AA9" s="1"/>
  <c r="K53"/>
  <c r="K54" s="1"/>
  <c r="I12" i="46"/>
  <c r="D9" i="62" s="1"/>
  <c r="L12" i="10"/>
  <c r="I6" i="46"/>
  <c r="D5" i="62" s="1"/>
  <c r="K22" i="46"/>
  <c r="K6"/>
  <c r="K61"/>
  <c r="AA22"/>
  <c r="S20"/>
  <c r="AA20"/>
  <c r="K14"/>
  <c r="S22"/>
  <c r="AA21"/>
  <c r="K60"/>
  <c r="K62"/>
  <c r="K16"/>
  <c r="D45" i="62" s="1"/>
  <c r="K9" i="46"/>
  <c r="K23"/>
  <c r="L20" i="10"/>
  <c r="I20" i="46"/>
  <c r="D17" i="62" s="1"/>
  <c r="AA21" i="122"/>
  <c r="J99" i="10"/>
  <c r="L99" s="1"/>
  <c r="AS6" i="122" s="1"/>
  <c r="S21"/>
  <c r="Q86" i="10"/>
  <c r="S86" s="1"/>
  <c r="S14" i="122" s="1"/>
  <c r="J82" i="10"/>
  <c r="L82" s="1"/>
  <c r="S19" i="58"/>
  <c r="S20"/>
  <c r="K10"/>
  <c r="K11" s="1"/>
  <c r="K8"/>
  <c r="K9" s="1"/>
  <c r="Z82" i="24" l="1"/>
  <c r="Z83" s="1"/>
  <c r="S93"/>
  <c r="O21" i="56" s="1"/>
  <c r="M19" i="119" s="1"/>
  <c r="S80" i="24"/>
  <c r="S81" s="1"/>
  <c r="S78"/>
  <c r="S79" s="1"/>
  <c r="G163" i="69"/>
  <c r="S19" i="60"/>
  <c r="E217" i="62" s="1"/>
  <c r="K21" i="122"/>
  <c r="K21" i="121"/>
  <c r="G147" i="69"/>
  <c r="K14" i="121"/>
  <c r="AS6" i="60"/>
  <c r="F182" i="62"/>
  <c r="D182"/>
  <c r="E184"/>
  <c r="G18" i="119"/>
  <c r="D127" i="69"/>
  <c r="K21" i="60"/>
  <c r="D219" i="62" s="1"/>
  <c r="K21" i="120"/>
  <c r="K19" i="122"/>
  <c r="K19" i="60"/>
  <c r="D217" i="62" s="1"/>
  <c r="E216"/>
  <c r="S19" i="122"/>
  <c r="S18"/>
  <c r="M22" i="121"/>
  <c r="O22" s="1"/>
  <c r="M57"/>
  <c r="O57" s="1"/>
  <c r="S19"/>
  <c r="M21"/>
  <c r="O21" s="1"/>
  <c r="S21"/>
  <c r="K14" i="60"/>
  <c r="D212" i="62" s="1"/>
  <c r="K14" i="122"/>
  <c r="K22" i="120"/>
  <c r="K22" i="122"/>
  <c r="K10" i="121"/>
  <c r="K11" s="1"/>
  <c r="K10" i="122"/>
  <c r="K11" s="1"/>
  <c r="K12" i="121"/>
  <c r="K13" s="1"/>
  <c r="K12" i="122"/>
  <c r="K13" s="1"/>
  <c r="K19" i="121"/>
  <c r="K16" i="60"/>
  <c r="D214" i="62" s="1"/>
  <c r="K16" i="122"/>
  <c r="K14" i="54"/>
  <c r="K23" i="61"/>
  <c r="G130" i="69"/>
  <c r="AG93" i="24"/>
  <c r="AG91"/>
  <c r="O19" i="56"/>
  <c r="K17" i="61"/>
  <c r="S13" i="46"/>
  <c r="E42" i="62" s="1"/>
  <c r="Z94" i="24"/>
  <c r="P43" i="74" s="1"/>
  <c r="AF43" s="1"/>
  <c r="AR43" s="1"/>
  <c r="K22" i="121"/>
  <c r="R23" i="119"/>
  <c r="AL23" s="1"/>
  <c r="D185" i="69" s="1"/>
  <c r="K8" i="121"/>
  <c r="K9" s="1"/>
  <c r="S14" i="120"/>
  <c r="AA19" i="121"/>
  <c r="AA21" i="120"/>
  <c r="AA21" i="121"/>
  <c r="K15" i="120"/>
  <c r="K54" i="121"/>
  <c r="K6"/>
  <c r="K7" s="1"/>
  <c r="K14" i="120"/>
  <c r="L126" i="10"/>
  <c r="K12" i="61"/>
  <c r="G41" i="62"/>
  <c r="G37"/>
  <c r="S10" i="56"/>
  <c r="R10" i="119" s="1"/>
  <c r="P34" i="74"/>
  <c r="AF34" s="1"/>
  <c r="AR34" s="1"/>
  <c r="I6"/>
  <c r="I8"/>
  <c r="K7" i="115"/>
  <c r="W7" i="119" s="1"/>
  <c r="G149" i="69"/>
  <c r="K9" i="115"/>
  <c r="W9" i="119" s="1"/>
  <c r="S21" i="120"/>
  <c r="K10"/>
  <c r="K11" s="1"/>
  <c r="K12"/>
  <c r="K13" s="1"/>
  <c r="R24" i="119"/>
  <c r="AL24" s="1"/>
  <c r="D186" i="69" s="1"/>
  <c r="K40" i="74"/>
  <c r="AC40" s="1"/>
  <c r="AO40" s="1"/>
  <c r="K8" i="120"/>
  <c r="K9" s="1"/>
  <c r="L81" i="10"/>
  <c r="K6" i="120"/>
  <c r="K7" s="1"/>
  <c r="L79" i="10"/>
  <c r="AG85" i="24"/>
  <c r="AG83"/>
  <c r="K12" i="46"/>
  <c r="K13" s="1"/>
  <c r="D42" i="62" s="1"/>
  <c r="L13" i="10"/>
  <c r="G157" i="69"/>
  <c r="W16" i="119"/>
  <c r="G155" i="69"/>
  <c r="W14" i="119"/>
  <c r="AL14" s="1"/>
  <c r="D176" i="69" s="1"/>
  <c r="G156"/>
  <c r="W15" i="119"/>
  <c r="Q12"/>
  <c r="S9" i="56"/>
  <c r="R9" i="119" s="1"/>
  <c r="R8"/>
  <c r="G21"/>
  <c r="G19"/>
  <c r="Q21"/>
  <c r="R18"/>
  <c r="L18"/>
  <c r="D124" i="69"/>
  <c r="G16" i="119"/>
  <c r="Q10"/>
  <c r="R20"/>
  <c r="R19"/>
  <c r="S7" i="56"/>
  <c r="R7" i="119" s="1"/>
  <c r="R6"/>
  <c r="E156" i="69"/>
  <c r="M15" i="119"/>
  <c r="E114" i="69"/>
  <c r="L6" i="119"/>
  <c r="O11" i="56"/>
  <c r="M11" i="119" s="1"/>
  <c r="M10"/>
  <c r="K10" i="115"/>
  <c r="S34" i="74"/>
  <c r="AH34" s="1"/>
  <c r="AT34" s="1"/>
  <c r="K12" i="115"/>
  <c r="S35" i="74"/>
  <c r="AH35" s="1"/>
  <c r="AT35" s="1"/>
  <c r="S41"/>
  <c r="AH41" s="1"/>
  <c r="AT41" s="1"/>
  <c r="S42"/>
  <c r="AH42" s="1"/>
  <c r="AT42" s="1"/>
  <c r="S40"/>
  <c r="AH40" s="1"/>
  <c r="AT40" s="1"/>
  <c r="G118" i="69"/>
  <c r="G120"/>
  <c r="G129"/>
  <c r="L80" i="24"/>
  <c r="K8" i="56" s="1"/>
  <c r="I32" i="74"/>
  <c r="L55" i="24"/>
  <c r="I26" i="74" s="1"/>
  <c r="L6" i="24"/>
  <c r="K6" i="61" s="1"/>
  <c r="K10" i="56"/>
  <c r="I34" i="74"/>
  <c r="H24"/>
  <c r="AA24" s="1"/>
  <c r="AM24" s="1"/>
  <c r="I24"/>
  <c r="H7"/>
  <c r="AA7" s="1"/>
  <c r="AM7" s="1"/>
  <c r="I7"/>
  <c r="K16" i="56"/>
  <c r="K16" i="58"/>
  <c r="D103" i="62" s="1"/>
  <c r="S11" i="60"/>
  <c r="E209" i="62" s="1"/>
  <c r="K16" i="54"/>
  <c r="D103" i="69" s="1"/>
  <c r="K12" i="56"/>
  <c r="D120" i="69"/>
  <c r="D114"/>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S22" i="56"/>
  <c r="R21" i="119" s="1"/>
  <c r="O8" i="56"/>
  <c r="D8" i="69"/>
  <c r="D13"/>
  <c r="K14" i="61"/>
  <c r="K22" i="54"/>
  <c r="K9" i="61"/>
  <c r="F130" i="69"/>
  <c r="K12" i="60"/>
  <c r="E118" i="69"/>
  <c r="E108"/>
  <c r="F157"/>
  <c r="F118"/>
  <c r="E163"/>
  <c r="E120"/>
  <c r="F102"/>
  <c r="F55"/>
  <c r="S7" i="61"/>
  <c r="S8" s="1"/>
  <c r="F53" i="69"/>
  <c r="S10" i="61"/>
  <c r="S11" s="1"/>
  <c r="D76" i="69"/>
  <c r="D130"/>
  <c r="D129"/>
  <c r="E116"/>
  <c r="E103"/>
  <c r="D101"/>
  <c r="E157"/>
  <c r="F162"/>
  <c r="D102"/>
  <c r="E162"/>
  <c r="D107"/>
  <c r="F106"/>
  <c r="F105"/>
  <c r="S7" i="54"/>
  <c r="D155" i="69"/>
  <c r="F120"/>
  <c r="F156"/>
  <c r="E102"/>
  <c r="E101"/>
  <c r="F103"/>
  <c r="F51"/>
  <c r="D156"/>
  <c r="S9" i="54"/>
  <c r="E107" i="69"/>
  <c r="F155"/>
  <c r="E155"/>
  <c r="F101"/>
  <c r="F108"/>
  <c r="E105"/>
  <c r="D108"/>
  <c r="F107"/>
  <c r="S13" i="61"/>
  <c r="F54" i="69"/>
  <c r="S15" i="61"/>
  <c r="F49" i="69"/>
  <c r="F56"/>
  <c r="F50"/>
  <c r="E106"/>
  <c r="D73"/>
  <c r="F149"/>
  <c r="F147"/>
  <c r="E93"/>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20" i="62"/>
  <c r="E50" i="69"/>
  <c r="F39"/>
  <c r="E54"/>
  <c r="D50"/>
  <c r="D55"/>
  <c r="F93"/>
  <c r="F45"/>
  <c r="E53"/>
  <c r="F47"/>
  <c r="D51"/>
  <c r="D56"/>
  <c r="E51"/>
  <c r="E56"/>
  <c r="D53"/>
  <c r="F97"/>
  <c r="E55"/>
  <c r="D49"/>
  <c r="D54"/>
  <c r="E49"/>
  <c r="F42"/>
  <c r="F95"/>
  <c r="F99"/>
  <c r="D17"/>
  <c r="E208" i="62"/>
  <c r="G213"/>
  <c r="G212"/>
  <c r="G211"/>
  <c r="G210"/>
  <c r="G208"/>
  <c r="G219"/>
  <c r="G167"/>
  <c r="F212"/>
  <c r="F213"/>
  <c r="F170"/>
  <c r="F220"/>
  <c r="F184"/>
  <c r="F205"/>
  <c r="F210"/>
  <c r="E220"/>
  <c r="D167"/>
  <c r="D213"/>
  <c r="G220"/>
  <c r="K10" i="60"/>
  <c r="K11" s="1"/>
  <c r="K8"/>
  <c r="K9" s="1"/>
  <c r="K6"/>
  <c r="K7" s="1"/>
  <c r="S14"/>
  <c r="E212" i="62" s="1"/>
  <c r="AA19" i="60"/>
  <c r="F217" i="62" s="1"/>
  <c r="S21" i="60"/>
  <c r="AA21"/>
  <c r="K64"/>
  <c r="G217" i="62" s="1"/>
  <c r="K6" i="56"/>
  <c r="D105" i="62"/>
  <c r="G205"/>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O12" i="56"/>
  <c r="S12"/>
  <c r="K51" i="60"/>
  <c r="K52" s="1"/>
  <c r="AA10"/>
  <c r="AA11" s="1"/>
  <c r="S12"/>
  <c r="S13" s="1"/>
  <c r="S8"/>
  <c r="S9" s="1"/>
  <c r="AA18" i="58"/>
  <c r="AA6" i="60"/>
  <c r="AA7" s="1"/>
  <c r="AA20" i="58"/>
  <c r="K20" i="46"/>
  <c r="S11" i="56" l="1"/>
  <c r="R11" i="119" s="1"/>
  <c r="O6" i="56"/>
  <c r="E147" i="69" s="1"/>
  <c r="M18" i="119"/>
  <c r="E160" i="69"/>
  <c r="K19" i="115"/>
  <c r="G160" i="69" s="1"/>
  <c r="K21" i="115"/>
  <c r="W20" i="119" s="1"/>
  <c r="G150" i="69"/>
  <c r="G148"/>
  <c r="D41" i="62"/>
  <c r="AL15" i="119"/>
  <c r="D177" i="69" s="1"/>
  <c r="I33" i="74"/>
  <c r="L81" i="24"/>
  <c r="I4" i="74"/>
  <c r="L7" i="24"/>
  <c r="L8" s="1"/>
  <c r="W18" i="119"/>
  <c r="G162" i="69"/>
  <c r="W19" i="119"/>
  <c r="K13" i="115"/>
  <c r="W13" i="119" s="1"/>
  <c r="W12"/>
  <c r="G151" i="69"/>
  <c r="W10" i="119"/>
  <c r="K9" i="56"/>
  <c r="H9" i="119" s="1"/>
  <c r="H8"/>
  <c r="H20"/>
  <c r="K13" i="56"/>
  <c r="H13" i="119" s="1"/>
  <c r="H12"/>
  <c r="D157" i="69"/>
  <c r="H16" i="119"/>
  <c r="AL16" s="1"/>
  <c r="D178" i="69" s="1"/>
  <c r="K11" i="56"/>
  <c r="D152" i="69" s="1"/>
  <c r="H10" i="119"/>
  <c r="O13" i="56"/>
  <c r="M13" i="119" s="1"/>
  <c r="M12"/>
  <c r="O9" i="56"/>
  <c r="M9" i="119" s="1"/>
  <c r="M8"/>
  <c r="S13" i="56"/>
  <c r="R13" i="119" s="1"/>
  <c r="R12"/>
  <c r="K7" i="56"/>
  <c r="H7" i="119" s="1"/>
  <c r="H6"/>
  <c r="O7" i="56"/>
  <c r="M7" i="119" s="1"/>
  <c r="M6"/>
  <c r="K11" i="115"/>
  <c r="W11" i="119" s="1"/>
  <c r="G153" i="69"/>
  <c r="K18" i="54"/>
  <c r="D105" i="69" s="1"/>
  <c r="K21" i="56"/>
  <c r="D162" i="69" s="1"/>
  <c r="I41" i="74"/>
  <c r="D92" i="62"/>
  <c r="K13" i="60"/>
  <c r="D211" i="62" s="1"/>
  <c r="E205"/>
  <c r="E206"/>
  <c r="K19" i="56"/>
  <c r="D153" i="69"/>
  <c r="D151"/>
  <c r="D149"/>
  <c r="F163"/>
  <c r="H41" i="74"/>
  <c r="AA41" s="1"/>
  <c r="AM41" s="1"/>
  <c r="E149" i="69"/>
  <c r="H40" i="74"/>
  <c r="AA40" s="1"/>
  <c r="AM40" s="1"/>
  <c r="K22" i="56"/>
  <c r="H21" i="119" s="1"/>
  <c r="AL21" s="1"/>
  <c r="D183" i="69" s="1"/>
  <c r="D39"/>
  <c r="D47"/>
  <c r="K15" i="61"/>
  <c r="D48" i="69" s="1"/>
  <c r="D42"/>
  <c r="K10" i="61"/>
  <c r="K11" s="1"/>
  <c r="K7"/>
  <c r="K8" s="1"/>
  <c r="D210" i="62"/>
  <c r="F150" i="69"/>
  <c r="F48"/>
  <c r="E100"/>
  <c r="E98"/>
  <c r="F44"/>
  <c r="E96"/>
  <c r="F148"/>
  <c r="D106"/>
  <c r="E94"/>
  <c r="F98"/>
  <c r="F46"/>
  <c r="F100"/>
  <c r="F41"/>
  <c r="D91" i="62"/>
  <c r="D147" i="69"/>
  <c r="F153"/>
  <c r="F151"/>
  <c r="E46"/>
  <c r="F96"/>
  <c r="F94"/>
  <c r="E48"/>
  <c r="E151"/>
  <c r="E153"/>
  <c r="D46"/>
  <c r="E41"/>
  <c r="E44"/>
  <c r="G209" i="62"/>
  <c r="G206"/>
  <c r="F202"/>
  <c r="F206"/>
  <c r="F219"/>
  <c r="F211"/>
  <c r="E219"/>
  <c r="D208"/>
  <c r="G214"/>
  <c r="D205"/>
  <c r="D202"/>
  <c r="E214"/>
  <c r="F214"/>
  <c r="F105"/>
  <c r="E211"/>
  <c r="E210"/>
  <c r="F208"/>
  <c r="F107"/>
  <c r="G202"/>
  <c r="D49"/>
  <c r="D96"/>
  <c r="D93"/>
  <c r="H18" i="119" l="1"/>
  <c r="AL18" s="1"/>
  <c r="D180" i="69" s="1"/>
  <c r="D160"/>
  <c r="AL10" i="119"/>
  <c r="D172" i="69" s="1"/>
  <c r="AL20" i="119"/>
  <c r="D182" i="69" s="1"/>
  <c r="E150"/>
  <c r="E148"/>
  <c r="G152"/>
  <c r="G154"/>
  <c r="H11" i="119"/>
  <c r="AL11" s="1"/>
  <c r="D173" i="69" s="1"/>
  <c r="AL7" i="119"/>
  <c r="D169" i="69" s="1"/>
  <c r="AL13" i="119"/>
  <c r="D175" i="69" s="1"/>
  <c r="AL9" i="119"/>
  <c r="D171" i="69" s="1"/>
  <c r="H19" i="119"/>
  <c r="AL19" s="1"/>
  <c r="D181" i="69" s="1"/>
  <c r="AL6" i="119"/>
  <c r="D168" i="69" s="1"/>
  <c r="AL12" i="119"/>
  <c r="D174" i="69" s="1"/>
  <c r="AL8" i="119"/>
  <c r="D170" i="69" s="1"/>
  <c r="D154"/>
  <c r="D163"/>
  <c r="D150"/>
  <c r="D41"/>
  <c r="D44"/>
  <c r="E152"/>
  <c r="D148"/>
  <c r="F152"/>
  <c r="F154"/>
  <c r="E154"/>
  <c r="G207" i="62"/>
  <c r="G203"/>
  <c r="F209"/>
  <c r="F203"/>
  <c r="F207"/>
  <c r="D204"/>
  <c r="D209"/>
  <c r="D203"/>
  <c r="D206"/>
  <c r="E207"/>
  <c r="G204" l="1"/>
  <c r="F204"/>
  <c r="D207"/>
  <c r="G34" l="1"/>
  <c r="AD38" i="24"/>
  <c r="P37"/>
  <c r="Q38" i="46"/>
  <c r="E33" i="62" s="1"/>
  <c r="I39" i="46"/>
  <c r="D34" i="62" s="1"/>
  <c r="I38" i="24"/>
  <c r="AR38"/>
  <c r="I34" i="62"/>
  <c r="AK37" i="24"/>
  <c r="I37"/>
  <c r="P38"/>
  <c r="M39" i="61"/>
  <c r="H33" i="62"/>
  <c r="G33"/>
  <c r="AD37" i="24"/>
  <c r="Q39" i="61"/>
  <c r="W38" i="24"/>
  <c r="Y39" i="46"/>
  <c r="F34" i="62" s="1"/>
  <c r="I33"/>
  <c r="AR37" i="24"/>
  <c r="M38" i="61"/>
  <c r="AK38" i="24"/>
  <c r="H34" i="62"/>
  <c r="Q38" i="61"/>
  <c r="Y38" i="46"/>
  <c r="F33" i="62" s="1"/>
  <c r="W37" i="24"/>
  <c r="Q39" i="46"/>
  <c r="E34" i="62" s="1"/>
  <c r="I38"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7"/>
  <c r="AD17" s="1"/>
  <c r="AP17" s="1"/>
  <c r="J17"/>
  <c r="AB17" s="1"/>
  <c r="AN17" s="1"/>
  <c r="J16"/>
  <c r="AB16" s="1"/>
  <c r="AN16" s="1"/>
  <c r="M16"/>
  <c r="AD16" s="1"/>
  <c r="AP16" s="1"/>
  <c r="S17"/>
  <c r="AH17" s="1"/>
  <c r="AT17" s="1"/>
  <c r="G16"/>
  <c r="Z16" s="1"/>
  <c r="AL16" s="1"/>
  <c r="G17"/>
  <c r="Z17" s="1"/>
  <c r="AL17" s="1"/>
  <c r="P17"/>
  <c r="AF17" s="1"/>
  <c r="AR17" s="1"/>
  <c r="F35" i="69"/>
  <c r="E35"/>
  <c r="E36"/>
  <c r="D36"/>
  <c r="F36"/>
  <c r="D35"/>
  <c r="W120" i="24"/>
  <c r="R44" i="74"/>
  <c r="P120" i="24"/>
  <c r="I121"/>
  <c r="AR120"/>
  <c r="AK121"/>
  <c r="P121"/>
  <c r="N44" i="74" l="1"/>
  <c r="AE44" s="1"/>
  <c r="AQ44" s="1"/>
  <c r="T45"/>
  <c r="AI45" s="1"/>
  <c r="AU45" s="1"/>
  <c r="U45"/>
  <c r="W44"/>
  <c r="AK44" s="1"/>
  <c r="AW44" s="1"/>
  <c r="X44"/>
  <c r="T44"/>
  <c r="AI44" s="1"/>
  <c r="AU44" s="1"/>
  <c r="Q43" i="115"/>
  <c r="I143" i="69" s="1"/>
  <c r="Q45" i="74"/>
  <c r="AG45" s="1"/>
  <c r="AS45" s="1"/>
  <c r="M44" i="115"/>
  <c r="H144" i="69" s="1"/>
  <c r="V44" i="74"/>
  <c r="AJ44" s="1"/>
  <c r="AV44" s="1"/>
  <c r="V45"/>
  <c r="AJ45" s="1"/>
  <c r="AV45" s="1"/>
  <c r="J44"/>
  <c r="AB44" s="1"/>
  <c r="AN44" s="1"/>
  <c r="G44"/>
  <c r="Z44" s="1"/>
  <c r="AL44" s="1"/>
  <c r="P44"/>
  <c r="AF44" s="1"/>
  <c r="AR44" s="1"/>
  <c r="S45"/>
  <c r="AH45" s="1"/>
  <c r="AT45" s="1"/>
  <c r="P45"/>
  <c r="AF45" s="1"/>
  <c r="AR45" s="1"/>
  <c r="M44"/>
  <c r="AD44" s="1"/>
  <c r="AP44" s="1"/>
  <c r="M45"/>
  <c r="AD45" s="1"/>
  <c r="AP45" s="1"/>
  <c r="J45"/>
  <c r="AB45" s="1"/>
  <c r="AN45" s="1"/>
  <c r="G45"/>
  <c r="Z45" s="1"/>
  <c r="AL45" s="1"/>
  <c r="S44"/>
  <c r="AH44" s="1"/>
  <c r="AT44" s="1"/>
  <c r="Q89" i="60"/>
  <c r="Q83" i="122" s="1"/>
  <c r="I89" i="60"/>
  <c r="I83" i="122" s="1"/>
  <c r="Y43" i="60"/>
  <c r="Y40" i="122" s="1"/>
  <c r="Q44" i="60"/>
  <c r="Q41" i="122" s="1"/>
  <c r="Q88" i="60"/>
  <c r="Q82" i="122" s="1"/>
  <c r="Y88" i="60"/>
  <c r="Y82" i="122" s="1"/>
  <c r="Q43" i="60"/>
  <c r="Q40" i="122" s="1"/>
  <c r="I44" i="56"/>
  <c r="D144" i="69" s="1"/>
  <c r="I43" i="56"/>
  <c r="D143" i="69" s="1"/>
  <c r="I43" i="60"/>
  <c r="I40" i="122" s="1"/>
  <c r="I44" i="60"/>
  <c r="I41" i="122" s="1"/>
  <c r="I88" i="60"/>
  <c r="Y89"/>
  <c r="Y83" i="122" s="1"/>
  <c r="M44" i="56"/>
  <c r="Y44" i="60"/>
  <c r="Y41" i="122" s="1"/>
  <c r="Q43" i="56"/>
  <c r="M43"/>
  <c r="I82" i="120" l="1"/>
  <c r="I82" i="122"/>
  <c r="G198" i="62"/>
  <c r="I198"/>
  <c r="Y82" i="120"/>
  <c r="E199" i="62"/>
  <c r="Q41" i="120"/>
  <c r="G199" i="62"/>
  <c r="I83" i="120"/>
  <c r="F199" i="62"/>
  <c r="Y41" i="120"/>
  <c r="I199" i="62"/>
  <c r="Y83" i="120"/>
  <c r="E198" i="62"/>
  <c r="Q40" i="120"/>
  <c r="H198" i="62"/>
  <c r="Q82" i="120"/>
  <c r="F198" i="62"/>
  <c r="Y40" i="120"/>
  <c r="H199" i="62"/>
  <c r="Q83" i="120"/>
  <c r="D199" i="62"/>
  <c r="I41" i="120"/>
  <c r="D198" i="62"/>
  <c r="I40" i="120"/>
  <c r="F144" i="69"/>
  <c r="E144"/>
  <c r="E143"/>
  <c r="F143"/>
  <c r="Q17" i="58" l="1"/>
  <c r="E70" i="62" s="1"/>
  <c r="I17" i="58"/>
  <c r="D70" i="62" s="1"/>
  <c r="Y17" i="58"/>
  <c r="F70" i="62" s="1"/>
  <c r="Q55" i="58"/>
  <c r="H70" i="62" s="1"/>
  <c r="G70"/>
  <c r="Q17" i="54"/>
  <c r="F72" i="69" s="1"/>
  <c r="Y55" i="58"/>
  <c r="I70" i="62" s="1"/>
  <c r="M17" i="54"/>
  <c r="E72" i="69" s="1"/>
  <c r="D72"/>
  <c r="S25" i="74" l="1"/>
  <c r="AH25" s="1"/>
  <c r="AT25" s="1"/>
  <c r="P25"/>
  <c r="AF25" s="1"/>
  <c r="AR25" s="1"/>
  <c r="J25"/>
  <c r="AB25" s="1"/>
  <c r="AN25" s="1"/>
  <c r="V25"/>
  <c r="AJ25" s="1"/>
  <c r="AV25" s="1"/>
  <c r="G25"/>
  <c r="Z25" s="1"/>
  <c r="AL25" s="1"/>
  <c r="M25"/>
  <c r="AD25" s="1"/>
  <c r="AP25" s="1"/>
  <c r="D18" i="69"/>
  <c r="D16" i="62"/>
  <c r="G11" i="74" l="1"/>
  <c r="Z11" s="1"/>
  <c r="AL11" s="1"/>
</calcChain>
</file>

<file path=xl/comments1.xml><?xml version="1.0" encoding="utf-8"?>
<comments xmlns="http://schemas.openxmlformats.org/spreadsheetml/2006/main">
  <authors>
    <author>CXUser</author>
  </authors>
  <commentList>
    <comment ref="C129" authorId="0">
      <text>
        <r>
          <rPr>
            <b/>
            <sz val="14"/>
            <color indexed="81"/>
            <rFont val="Tahoma"/>
            <family val="2"/>
          </rPr>
          <t>BP kỹ thuật chưa cung cấp số liệu kiểm soát
The technical department has not provided control data</t>
        </r>
      </text>
    </comment>
  </commentList>
</comments>
</file>

<file path=xl/comments2.xml><?xml version="1.0" encoding="utf-8"?>
<comments xmlns="http://schemas.openxmlformats.org/spreadsheetml/2006/main">
  <authors>
    <author>CXUser</author>
  </authors>
  <commentList>
    <comment ref="AI1" authorId="0">
      <text>
        <r>
          <rPr>
            <b/>
            <sz val="14"/>
            <color indexed="81"/>
            <rFont val="Tahoma"/>
            <family val="2"/>
          </rPr>
          <t>MÀU JASCO</t>
        </r>
      </text>
    </comment>
  </commentList>
</comments>
</file>

<file path=xl/sharedStrings.xml><?xml version="1.0" encoding="utf-8"?>
<sst xmlns="http://schemas.openxmlformats.org/spreadsheetml/2006/main" count="17358" uniqueCount="1697">
  <si>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</si>
  <si>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</si>
  <si>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</si>
  <si>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</si>
  <si>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</si>
  <si>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</si>
  <si>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</si>
  <si>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</si>
  <si>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</si>
  <si>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</si>
  <si>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</si>
  <si>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</si>
  <si>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</si>
  <si>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</si>
  <si>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</si>
  <si>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</si>
  <si>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</si>
  <si>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</si>
  <si>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</si>
  <si>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</si>
  <si>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</si>
  <si>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</si>
  <si>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</si>
  <si>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</si>
  <si>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</si>
  <si>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</si>
  <si>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</si>
  <si>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</si>
  <si>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</si>
  <si>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</si>
  <si>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</si>
  <si>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</si>
  <si>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</si>
  <si>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</si>
  <si>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</si>
  <si>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</si>
  <si>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</si>
  <si>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</si>
  <si>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</si>
  <si>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</si>
  <si>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</si>
  <si>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</si>
  <si>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</si>
  <si>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</si>
  <si>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</si>
  <si>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</si>
  <si>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</si>
  <si>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</si>
  <si>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</si>
  <si>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</si>
  <si>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</si>
  <si>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</si>
  <si>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</si>
  <si>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</si>
  <si>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</si>
  <si>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</si>
  <si>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</si>
  <si>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</si>
  <si>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</si>
  <si>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</si>
  <si>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</si>
  <si>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</si>
  <si>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</si>
  <si>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</si>
  <si>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</si>
  <si>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</si>
  <si>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</si>
  <si>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</si>
  <si>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</si>
  <si>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</si>
  <si>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</si>
  <si>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</si>
  <si>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</si>
  <si>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</si>
  <si>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</si>
  <si>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</si>
  <si>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</si>
  <si>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</si>
  <si>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</si>
  <si>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</si>
  <si>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</si>
  <si>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</si>
  <si>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</si>
  <si>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</si>
  <si>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</si>
  <si>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</si>
  <si>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</si>
  <si>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</si>
  <si>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</si>
  <si>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</si>
  <si>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</si>
  <si>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</si>
  <si>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</si>
  <si>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</si>
  <si>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</si>
  <si>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</si>
  <si>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</si>
  <si>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</si>
  <si>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</si>
  <si>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</si>
  <si>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</si>
  <si>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</si>
  <si>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</si>
  <si>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</si>
  <si>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</si>
  <si>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</si>
  <si>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</si>
  <si>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</si>
  <si>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</si>
  <si>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</si>
  <si>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</si>
  <si>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</si>
  <si>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</si>
  <si>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</si>
  <si>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</si>
  <si>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</si>
  <si>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</si>
  <si>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</si>
  <si>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</si>
  <si>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</si>
  <si>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</si>
  <si>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</si>
  <si>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</si>
  <si>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</si>
  <si>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</si>
  <si>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</si>
  <si>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</si>
  <si>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</si>
  <si>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</si>
  <si>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</si>
  <si>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</si>
  <si>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</si>
  <si>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</si>
  <si>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</si>
  <si>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</si>
  <si>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</si>
  <si>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</si>
  <si>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</si>
  <si>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</si>
  <si>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</si>
  <si>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</si>
  <si>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</si>
  <si>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</si>
  <si>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</si>
  <si>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</si>
  <si>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</si>
  <si>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</si>
  <si>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</si>
  <si>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</si>
  <si>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</si>
  <si>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</si>
  <si>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</si>
  <si>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</si>
  <si>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</si>
  <si>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</si>
  <si>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</si>
  <si>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</si>
  <si>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</si>
  <si>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</si>
  <si>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</si>
  <si>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</si>
  <si>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</si>
  <si>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</si>
  <si>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</si>
  <si>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</si>
  <si>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</si>
  <si>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</si>
  <si>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</si>
  <si>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</si>
  <si>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</si>
  <si>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</si>
  <si>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</si>
  <si>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</si>
  <si>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</si>
  <si>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</si>
  <si>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</si>
  <si>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</si>
  <si>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</si>
  <si>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</si>
  <si>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</si>
  <si>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</si>
  <si>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</si>
  <si>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</si>
  <si>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</si>
  <si>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</si>
  <si>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</si>
  <si>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</si>
  <si>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</si>
  <si>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</si>
  <si>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</si>
  <si>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</si>
  <si>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</si>
  <si>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</si>
  <si>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</si>
  <si>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</si>
  <si>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</si>
  <si>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</si>
  <si>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</si>
  <si>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</si>
  <si>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</si>
  <si>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</si>
  <si>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</si>
  <si>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</si>
  <si>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</si>
  <si>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</si>
  <si>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</si>
  <si>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</si>
  <si>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</si>
  <si>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</si>
  <si>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</si>
  <si>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</si>
  <si>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</si>
  <si>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</si>
  <si>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</si>
  <si>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</si>
  <si>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</si>
  <si>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</si>
  <si>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</si>
  <si>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</si>
  <si>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</si>
  <si>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</si>
  <si>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</si>
  <si>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</si>
  <si>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</si>
  <si>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</si>
  <si>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</si>
  <si>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</si>
  <si>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</si>
  <si>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</si>
  <si>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</si>
  <si>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</si>
  <si>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</si>
  <si>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</si>
  <si>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</si>
  <si>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</si>
  <si>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</si>
  <si>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</si>
  <si>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</si>
  <si>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</si>
  <si>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</si>
  <si>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</si>
  <si>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</si>
  <si>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</si>
  <si>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</si>
  <si>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</si>
  <si>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</si>
  <si>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</si>
  <si>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</si>
  <si>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</si>
  <si>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</si>
  <si>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</si>
  <si>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</si>
  <si>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</si>
  <si>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</si>
  <si>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</si>
  <si>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</si>
  <si>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</si>
  <si>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</si>
  <si>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</si>
  <si>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</si>
  <si>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</si>
  <si>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</si>
  <si>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</si>
  <si>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</si>
  <si>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</si>
  <si>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</si>
  <si>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</si>
  <si>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</si>
  <si>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</si>
  <si>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</si>
  <si>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</si>
  <si>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</si>
  <si>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</si>
  <si>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</si>
  <si>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</si>
  <si>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</si>
  <si>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</si>
  <si>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</si>
  <si>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</si>
  <si>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</si>
  <si>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</si>
  <si>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</si>
  <si>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</si>
  <si>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</si>
  <si>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</si>
  <si>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</si>
  <si>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</si>
  <si>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</si>
  <si>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</si>
  <si>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</si>
  <si>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</si>
  <si>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</si>
  <si>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</si>
  <si>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</si>
  <si>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</si>
  <si>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</si>
  <si>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</si>
  <si>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</si>
  <si>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</si>
  <si>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</si>
  <si>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</si>
  <si>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</si>
  <si>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</si>
  <si>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</si>
  <si>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</si>
  <si>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</si>
  <si>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</si>
  <si>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</si>
  <si>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</si>
  <si>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</si>
  <si>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</si>
  <si>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</si>
  <si>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</si>
  <si>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</si>
  <si>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</si>
  <si>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</si>
  <si>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</si>
  <si>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</si>
  <si>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</si>
  <si>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</si>
  <si>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</si>
  <si>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</si>
  <si>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</si>
  <si>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</si>
  <si>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</si>
  <si>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</si>
  <si>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</si>
  <si>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</si>
  <si>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</si>
  <si>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</si>
  <si>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</si>
  <si>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</si>
  <si>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</si>
  <si>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</si>
  <si>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</si>
  <si>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</si>
  <si>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</si>
  <si>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</si>
  <si>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</si>
  <si>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</si>
  <si>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</si>
  <si>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</si>
  <si>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</si>
  <si>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</si>
  <si>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</si>
  <si>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</si>
  <si>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</si>
  <si>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</si>
  <si>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</si>
  <si>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</si>
  <si>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</si>
  <si>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</si>
  <si>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</si>
  <si>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</si>
  <si>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</si>
  <si>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</si>
  <si>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</si>
  <si>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</si>
  <si>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</si>
  <si>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</si>
  <si>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</si>
  <si>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</si>
  <si>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</si>
  <si>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</si>
  <si>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</si>
  <si>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</si>
  <si>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</si>
  <si>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</si>
  <si>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</si>
  <si>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</si>
  <si>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</si>
  <si>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</si>
  <si>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</si>
  <si>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</si>
  <si>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</si>
  <si>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</si>
  <si>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</si>
  <si>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</si>
  <si>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</si>
  <si>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</si>
  <si>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</si>
  <si>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</si>
  <si>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</si>
  <si>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</si>
  <si>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</si>
  <si>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</si>
  <si>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</si>
  <si>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</si>
  <si>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</si>
  <si>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</si>
  <si>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</si>
  <si>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</si>
  <si>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</si>
  <si>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</si>
  <si>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</si>
  <si>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</si>
  <si>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</si>
  <si>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</si>
  <si>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</si>
  <si>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</si>
  <si>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</si>
  <si>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</si>
  <si>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</si>
  <si>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</si>
  <si>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</si>
  <si>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</si>
  <si>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</si>
  <si>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</si>
  <si>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</si>
  <si>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</si>
  <si>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</si>
  <si>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</si>
  <si>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</si>
  <si>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</si>
  <si>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</si>
  <si>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</si>
  <si>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</si>
  <si>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</si>
  <si>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</si>
  <si>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</si>
  <si>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</si>
  <si>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</si>
  <si>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</si>
  <si>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</si>
  <si>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</si>
  <si>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</si>
  <si>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</si>
  <si>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</si>
  <si>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</si>
  <si>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</si>
  <si>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</si>
  <si>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</si>
  <si>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</si>
  <si>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</si>
  <si>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</si>
  <si>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</si>
  <si>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</si>
  <si>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</si>
  <si>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</si>
  <si>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</si>
  <si>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</si>
  <si>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</si>
  <si>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</si>
  <si>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</si>
  <si>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</si>
  <si>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</si>
  <si>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</si>
  <si>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</si>
  <si>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</si>
  <si>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</si>
  <si>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</si>
  <si>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</si>
  <si>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</si>
  <si>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</si>
  <si>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</si>
  <si>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</si>
  <si>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</si>
  <si>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</si>
  <si>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</si>
  <si>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</si>
  <si>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</si>
  <si>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</si>
  <si>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</si>
  <si>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</si>
  <si>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</si>
  <si>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</si>
  <si>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</si>
  <si>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</si>
  <si>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</si>
  <si>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</si>
  <si>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</si>
  <si>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</si>
  <si>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</si>
  <si>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</si>
  <si>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</si>
  <si>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</si>
  <si>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</si>
  <si>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</si>
  <si>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</si>
  <si>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</si>
  <si>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</si>
  <si>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</si>
  <si>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</si>
  <si>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</si>
  <si>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</si>
  <si>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</si>
  <si>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</si>
  <si>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</si>
  <si>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</si>
  <si>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</si>
  <si>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</si>
  <si>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</si>
  <si>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</si>
  <si>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</si>
  <si>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</si>
  <si>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</si>
  <si>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</si>
  <si>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</si>
  <si>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</si>
  <si>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</si>
  <si>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</si>
  <si>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</si>
  <si>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</si>
  <si>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</si>
  <si>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</si>
  <si>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</si>
  <si>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</si>
  <si>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</si>
  <si>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</si>
  <si>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</si>
  <si>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</si>
  <si>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</si>
  <si>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</si>
  <si>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</si>
  <si>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</si>
  <si>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</si>
  <si>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</si>
  <si>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</si>
  <si>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</si>
  <si>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</si>
  <si>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</si>
  <si>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</si>
  <si>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</si>
  <si>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</si>
  <si>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</si>
  <si>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</si>
  <si>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</si>
  <si>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</si>
  <si>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</si>
  <si>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</si>
  <si>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</si>
  <si>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</si>
  <si>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</si>
  <si>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</si>
  <si>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</si>
  <si>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</si>
  <si>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</si>
  <si>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</si>
  <si>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</si>
  <si>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</si>
  <si>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</si>
  <si>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</si>
  <si>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</si>
  <si>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</si>
  <si>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</si>
  <si>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</si>
  <si>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</si>
  <si>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</si>
  <si>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</si>
  <si>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</si>
  <si>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</si>
  <si>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</si>
  <si>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</si>
  <si>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</si>
  <si>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</si>
  <si>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</si>
  <si>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</si>
  <si>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</si>
  <si>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</si>
  <si>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</si>
  <si>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</si>
  <si>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</si>
  <si>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</si>
  <si>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</si>
  <si>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</si>
  <si>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</si>
  <si>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</si>
  <si>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</si>
  <si>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</si>
  <si>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</si>
  <si>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</si>
  <si>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</si>
  <si>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</si>
  <si>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</si>
  <si>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</si>
  <si>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</si>
  <si>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</si>
  <si>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</si>
  <si>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</si>
  <si>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</si>
  <si>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</si>
  <si>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</si>
  <si>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</si>
  <si>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</si>
  <si>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</si>
  <si>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</si>
  <si>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</si>
  <si>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</si>
  <si>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</si>
  <si>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</si>
  <si>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</si>
  <si>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</si>
  <si>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</si>
  <si>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</si>
  <si>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</si>
  <si>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</si>
  <si>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</si>
  <si>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</si>
  <si>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</si>
  <si>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</si>
  <si>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</si>
  <si>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</si>
  <si>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</si>
  <si>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</si>
  <si>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</si>
  <si>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</si>
  <si>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</si>
  <si>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</si>
  <si>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</si>
  <si>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</si>
  <si>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</si>
  <si>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</si>
  <si>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</si>
  <si>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</si>
  <si>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</si>
  <si>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</si>
  <si>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</si>
  <si>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</si>
  <si>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</si>
  <si>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</si>
  <si>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</si>
  <si>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</si>
  <si>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</si>
  <si>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</si>
  <si>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</si>
  <si>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</si>
  <si>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</si>
  <si>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</si>
  <si>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</si>
  <si>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</si>
  <si>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</si>
  <si>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</si>
  <si>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</si>
  <si>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</si>
  <si>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</si>
  <si>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</si>
  <si>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</si>
  <si>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</si>
  <si>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</si>
  <si>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</si>
  <si>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</si>
  <si>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</si>
  <si>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</si>
  <si>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</si>
  <si>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</si>
  <si>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</si>
  <si>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</si>
  <si>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</si>
  <si>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</si>
  <si>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</si>
  <si>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</si>
  <si>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</si>
  <si>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</si>
  <si>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</si>
  <si>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</si>
  <si>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</si>
  <si>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</si>
  <si>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</si>
  <si>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</si>
  <si>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</si>
  <si>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</si>
  <si>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</si>
  <si>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</si>
  <si>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</si>
  <si>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</si>
  <si>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</si>
  <si>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</si>
  <si>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</si>
  <si>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</si>
  <si>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</si>
  <si>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</si>
  <si>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</si>
  <si>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</si>
  <si>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</si>
  <si>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</si>
  <si>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</si>
  <si>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</si>
  <si>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</si>
  <si>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</si>
  <si>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</si>
  <si>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</si>
  <si>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</si>
  <si>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</si>
  <si>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</si>
  <si>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</si>
  <si>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</si>
  <si>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</si>
  <si>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</si>
  <si>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</si>
  <si>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</si>
  <si>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</si>
  <si>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</si>
  <si>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</si>
  <si>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</si>
  <si>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</si>
  <si>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</si>
  <si>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</si>
  <si>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</si>
  <si>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</si>
  <si>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</si>
  <si>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</si>
  <si>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</si>
  <si>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</si>
  <si>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</si>
  <si>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</si>
  <si>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</si>
  <si>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</si>
  <si>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</si>
  <si>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</si>
  <si>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</si>
  <si>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</si>
  <si>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</si>
  <si>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</si>
  <si>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</si>
  <si>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</si>
  <si>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</si>
  <si>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</si>
  <si>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</si>
  <si>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</si>
  <si>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</si>
  <si>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</si>
  <si>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</si>
  <si>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</si>
  <si>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</si>
  <si>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</si>
  <si>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</si>
  <si>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</si>
  <si>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</si>
  <si>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</si>
  <si>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</si>
  <si>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</si>
  <si>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</si>
  <si>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</si>
  <si>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</si>
  <si>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</si>
  <si>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</si>
  <si>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</si>
  <si>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</si>
  <si>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</si>
  <si>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</si>
  <si>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</si>
  <si>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</si>
  <si>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</si>
  <si>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</si>
  <si>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</si>
  <si>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</si>
  <si>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</si>
  <si>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</si>
  <si>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</si>
  <si>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</si>
  <si>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</si>
  <si>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</si>
  <si>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</si>
  <si>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</si>
  <si>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</si>
  <si>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</si>
  <si>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</si>
  <si>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</si>
  <si>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</si>
  <si>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</si>
  <si>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</si>
  <si>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</si>
  <si>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</si>
  <si>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</si>
  <si>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</si>
  <si>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</si>
  <si>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</si>
  <si>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</si>
  <si>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</si>
  <si>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</si>
  <si>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</si>
  <si>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</si>
  <si>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</si>
  <si>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</si>
  <si>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</si>
  <si>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</si>
  <si>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</si>
  <si>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</si>
  <si>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</si>
  <si>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</si>
  <si>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</si>
  <si>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</si>
  <si>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</si>
  <si>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</si>
  <si>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</si>
  <si>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</si>
  <si>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</si>
  <si>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</si>
  <si>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</si>
  <si>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</si>
  <si>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</si>
  <si>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</si>
  <si>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</si>
  <si>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</si>
  <si>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</si>
  <si>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</si>
  <si>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</si>
  <si>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</si>
  <si>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</si>
  <si>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</si>
  <si>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</si>
  <si>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</si>
  <si>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</si>
  <si>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</si>
  <si>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</si>
  <si>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</si>
  <si>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</si>
  <si>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</si>
  <si>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</si>
  <si>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</si>
  <si>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</si>
  <si>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</si>
  <si>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</si>
  <si>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</si>
  <si>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</si>
  <si>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</si>
  <si>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</si>
  <si>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</si>
  <si>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</si>
  <si>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</si>
  <si>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</si>
  <si>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</si>
  <si>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</si>
  <si>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</si>
  <si>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</si>
  <si>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</si>
  <si>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</si>
  <si>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</si>
  <si>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</si>
  <si>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</si>
  <si>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</si>
  <si>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</si>
  <si>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</si>
  <si>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</si>
  <si>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</si>
  <si>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</si>
  <si>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</si>
  <si>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</si>
  <si>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</si>
  <si>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</si>
  <si>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</si>
  <si>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</si>
  <si>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</si>
  <si>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</si>
  <si>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</si>
  <si>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</si>
  <si>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</si>
  <si>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</si>
  <si>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</si>
  <si>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</si>
  <si>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</si>
  <si>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</si>
  <si>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</si>
  <si>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</si>
  <si>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</si>
  <si>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</si>
  <si>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</si>
  <si>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</si>
  <si>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</si>
  <si>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</si>
  <si>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</si>
  <si>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</si>
  <si>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</si>
  <si>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</si>
  <si>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</si>
  <si>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</si>
  <si>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</si>
  <si>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</si>
  <si>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</si>
  <si>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</si>
  <si>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</si>
  <si>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</si>
  <si>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</si>
  <si>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</si>
  <si>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</si>
  <si>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</si>
  <si>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9" type="noConversion"/>
  </si>
  <si>
    <r>
      <t>chuy</t>
    </r>
    <r>
      <rPr>
        <sz val="11"/>
        <color theme="1"/>
        <rFont val="細明體"/>
        <family val="3"/>
        <charset val="136"/>
      </rPr>
      <t>ề</t>
    </r>
    <r>
      <rPr>
        <sz val="11"/>
        <color theme="1"/>
        <rFont val="Times New Roman"/>
        <family val="1"/>
      </rPr>
      <t>n</t>
    </r>
    <phoneticPr fontId="179" type="noConversion"/>
  </si>
  <si>
    <t>THỜI GIAN</t>
    <phoneticPr fontId="179" type="noConversion"/>
  </si>
  <si>
    <t>XI MẠ</t>
    <phoneticPr fontId="179" type="noConversion"/>
  </si>
  <si>
    <t>XL-001E</t>
    <phoneticPr fontId="179" type="noConversion"/>
  </si>
  <si>
    <t>8:15-8:45</t>
    <phoneticPr fontId="179" type="noConversion"/>
  </si>
  <si>
    <t>10:15-10:45</t>
    <phoneticPr fontId="179" type="noConversion"/>
  </si>
  <si>
    <t>15:00-15:30</t>
    <phoneticPr fontId="179" type="noConversion"/>
  </si>
  <si>
    <t>20:15-20:45</t>
    <phoneticPr fontId="179" type="noConversion"/>
  </si>
  <si>
    <t>22:15-22:45</t>
    <phoneticPr fontId="179" type="noConversion"/>
  </si>
  <si>
    <t>2:30-3:00</t>
    <phoneticPr fontId="179" type="noConversion"/>
  </si>
  <si>
    <t>4:30-5:00</t>
    <phoneticPr fontId="179" type="noConversion"/>
  </si>
  <si>
    <t>XL-001F</t>
    <phoneticPr fontId="179" type="noConversion"/>
  </si>
  <si>
    <t>XI TREO</t>
    <phoneticPr fontId="179" type="noConversion"/>
  </si>
  <si>
    <t>XT-001C</t>
    <phoneticPr fontId="179" type="noConversion"/>
  </si>
  <si>
    <t>RỬA LiỆU</t>
    <phoneticPr fontId="179" type="noConversion"/>
  </si>
  <si>
    <t>RL-E</t>
    <phoneticPr fontId="179" type="noConversion"/>
  </si>
  <si>
    <t>16:30-17:00</t>
    <phoneticPr fontId="179" type="noConversion"/>
  </si>
  <si>
    <t>RL-F</t>
    <phoneticPr fontId="179" type="noConversion"/>
  </si>
  <si>
    <t>RL-C</t>
    <phoneticPr fontId="179" type="noConversion"/>
  </si>
  <si>
    <t>DƯƠNG CỰC</t>
    <phoneticPr fontId="179" type="noConversion"/>
  </si>
  <si>
    <t>DC</t>
    <phoneticPr fontId="179" type="noConversion"/>
  </si>
  <si>
    <t>XI ĐEN</t>
    <phoneticPr fontId="179" type="noConversion"/>
  </si>
  <si>
    <t>XD</t>
    <phoneticPr fontId="179"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</si>
  <si>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</si>
  <si>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</si>
  <si>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</si>
  <si>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</si>
  <si>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</si>
  <si>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</si>
  <si>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</si>
  <si>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</si>
  <si>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</si>
  <si>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</si>
  <si>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</si>
  <si>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</si>
  <si>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</si>
  <si>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</si>
  <si>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</si>
  <si>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</si>
  <si>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</si>
  <si>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</si>
  <si>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</si>
  <si>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</si>
  <si>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</si>
  <si>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</si>
  <si>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</si>
  <si>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</si>
  <si>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</si>
  <si>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</si>
  <si>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</si>
  <si>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</si>
  <si>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</si>
  <si>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</si>
  <si>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</si>
  <si>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</si>
  <si>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</si>
  <si>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</si>
  <si>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</si>
  <si>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</si>
  <si>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</si>
  <si>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</si>
  <si>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</si>
  <si>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</si>
  <si>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</si>
  <si>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</si>
  <si>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</si>
  <si>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</si>
  <si>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</si>
  <si>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</si>
  <si>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</si>
  <si>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</si>
  <si>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</si>
  <si>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</si>
  <si>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</si>
  <si>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</si>
  <si>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</si>
  <si>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</si>
  <si>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</si>
  <si>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</si>
  <si>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</si>
  <si>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</si>
  <si>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</si>
  <si>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</si>
  <si>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</si>
  <si>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</si>
  <si>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</si>
  <si>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</si>
  <si>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</si>
  <si>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</si>
  <si>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</si>
  <si>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</si>
  <si>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</si>
  <si>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</si>
  <si>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</si>
  <si>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</si>
  <si>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</si>
  <si>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</si>
  <si>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</si>
  <si>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</si>
  <si>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</si>
  <si>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</si>
  <si>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</si>
  <si>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</si>
  <si>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</si>
  <si>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</si>
  <si>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</si>
  <si>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</si>
  <si>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</si>
  <si>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</si>
  <si>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</si>
  <si>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</si>
  <si>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</si>
  <si>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</si>
  <si>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</si>
  <si>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</si>
  <si>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</si>
  <si>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</si>
  <si>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</si>
  <si>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</si>
  <si>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</si>
  <si>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t>D:\2. Data hoa nghiem\1. PP HÓA NGHIỆM CÁC BỒN-XLBM\HCL hoạt hóa-xt,xm.pdf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</si>
  <si>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</si>
  <si>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</si>
  <si>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</si>
  <si>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</si>
  <si>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</si>
  <si>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</si>
  <si>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</si>
  <si>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</si>
  <si>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</si>
  <si>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</si>
  <si>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</si>
  <si>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</si>
  <si>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</si>
  <si>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</si>
  <si>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</si>
  <si>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</si>
  <si>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</si>
  <si>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</si>
  <si>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</si>
  <si>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</si>
  <si>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</si>
  <si>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</si>
  <si>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</si>
  <si>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</si>
  <si>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</si>
  <si>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</si>
  <si>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</si>
  <si>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</si>
  <si>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</si>
  <si>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</si>
  <si>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</si>
  <si>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</si>
  <si>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</si>
  <si>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</si>
  <si>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</si>
  <si>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</si>
  <si>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</si>
  <si>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</si>
  <si>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</si>
  <si>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</si>
  <si>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</si>
  <si>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</si>
  <si>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</si>
  <si>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</si>
  <si>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</si>
  <si>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</si>
  <si>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</si>
  <si>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</si>
  <si>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</si>
  <si>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</si>
  <si>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</si>
  <si>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</si>
  <si>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</si>
  <si>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</si>
  <si>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</si>
  <si>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</si>
  <si>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</si>
  <si>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</si>
  <si>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</si>
  <si>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</si>
  <si>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</si>
  <si>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</si>
  <si>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</si>
  <si>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</si>
  <si>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</si>
  <si>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</si>
  <si>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</si>
  <si>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</si>
  <si>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</si>
  <si>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</si>
  <si>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</si>
  <si>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</si>
  <si>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</si>
  <si>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</si>
  <si>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</si>
  <si>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</si>
  <si>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</si>
  <si>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</si>
  <si>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</si>
  <si>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</si>
  <si>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</si>
  <si>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</si>
  <si>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</si>
  <si>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</si>
  <si>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</si>
  <si>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</si>
  <si>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</si>
  <si>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</si>
  <si>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</si>
  <si>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</si>
  <si>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</si>
  <si>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</si>
  <si>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</si>
  <si>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</si>
  <si>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</si>
  <si>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</si>
  <si>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</si>
  <si>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</si>
  <si>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</si>
  <si>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</si>
  <si>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</si>
  <si>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</si>
  <si>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</si>
  <si>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</si>
  <si>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</si>
  <si>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</si>
  <si>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</si>
  <si>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</si>
  <si>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</si>
  <si>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</si>
  <si>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</si>
  <si>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</si>
  <si>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</si>
  <si>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</si>
  <si>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</si>
  <si>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</si>
  <si>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</si>
  <si>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</si>
  <si>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</si>
  <si>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</si>
  <si>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</si>
  <si>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</si>
  <si>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</si>
  <si>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</si>
  <si>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</si>
  <si>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</si>
  <si>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</si>
  <si>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</si>
  <si>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</si>
  <si>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</si>
  <si>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</si>
  <si>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</si>
  <si>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</si>
  <si>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</si>
  <si>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</si>
  <si>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</si>
  <si>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</si>
  <si>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</si>
  <si>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</si>
  <si>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</si>
  <si>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</si>
  <si>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</si>
  <si>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</si>
  <si>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</si>
  <si>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</si>
  <si>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</si>
  <si>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</si>
  <si>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</si>
  <si>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</si>
  <si>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</si>
  <si>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</si>
  <si>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</si>
  <si>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</si>
  <si>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</si>
  <si>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</si>
  <si>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</si>
  <si>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</si>
  <si>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</si>
  <si>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</si>
  <si>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</si>
  <si>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</si>
  <si>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</si>
  <si>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</si>
  <si>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</si>
  <si>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</si>
  <si>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</si>
  <si>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</si>
  <si>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</si>
  <si>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</si>
  <si>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</si>
  <si>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</si>
  <si>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</si>
  <si>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</si>
  <si>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</si>
  <si>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</si>
  <si>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</si>
  <si>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</si>
  <si>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</si>
  <si>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</si>
  <si>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</si>
  <si>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</si>
  <si>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</si>
  <si>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</si>
  <si>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</si>
  <si>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</si>
  <si>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</si>
  <si>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</si>
  <si>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</si>
  <si>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</si>
  <si>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</si>
  <si>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</si>
  <si>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</si>
  <si>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</si>
  <si>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</si>
  <si>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</si>
  <si>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</si>
  <si>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</si>
  <si>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9" type="noConversion"/>
  </si>
  <si>
    <t xml:space="preserve">Test Item </t>
    <phoneticPr fontId="179" type="noConversion"/>
  </si>
  <si>
    <t>Unit</t>
    <phoneticPr fontId="179" type="noConversion"/>
  </si>
  <si>
    <t xml:space="preserve"> Result</t>
    <phoneticPr fontId="179" type="noConversion"/>
  </si>
  <si>
    <r>
      <t>Zn</t>
    </r>
    <r>
      <rPr>
        <vertAlign val="superscript"/>
        <sz val="11"/>
        <color theme="1"/>
        <rFont val="Times New Roman"/>
        <family val="1"/>
      </rPr>
      <t>2+</t>
    </r>
    <phoneticPr fontId="179" type="noConversion"/>
  </si>
  <si>
    <t>g/l</t>
    <phoneticPr fontId="179" type="noConversion"/>
  </si>
  <si>
    <t>NaOH</t>
    <phoneticPr fontId="179"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</si>
  <si>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</si>
  <si>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t>Fe</t>
    <phoneticPr fontId="179" type="noConversion"/>
  </si>
  <si>
    <t>&lt;5</t>
  </si>
  <si>
    <t>ppm</t>
    <phoneticPr fontId="179" type="noConversion"/>
  </si>
  <si>
    <t>Cu</t>
    <phoneticPr fontId="179" type="noConversion"/>
  </si>
  <si>
    <t>Cr</t>
    <phoneticPr fontId="179" type="noConversion"/>
  </si>
  <si>
    <t>Pb</t>
    <phoneticPr fontId="179" type="noConversion"/>
  </si>
  <si>
    <t>Màu K (5U109A)</t>
    <phoneticPr fontId="179" type="noConversion"/>
  </si>
  <si>
    <t>%</t>
    <phoneticPr fontId="179" type="noConversion"/>
  </si>
  <si>
    <t>pH</t>
    <phoneticPr fontId="179" type="noConversion"/>
  </si>
  <si>
    <t>/</t>
    <phoneticPr fontId="179" type="noConversion"/>
  </si>
  <si>
    <t>(2.1±0.1 )</t>
  </si>
  <si>
    <t>Zn</t>
    <phoneticPr fontId="179" type="noConversion"/>
  </si>
  <si>
    <t>Lanthane 318</t>
    <phoneticPr fontId="179" type="noConversion"/>
  </si>
  <si>
    <t>Finidip 124</t>
    <phoneticPr fontId="179" type="noConversion"/>
  </si>
  <si>
    <r>
      <t>Ni</t>
    </r>
    <r>
      <rPr>
        <vertAlign val="superscript"/>
        <sz val="11"/>
        <color theme="1"/>
        <rFont val="Times New Roman"/>
        <family val="1"/>
      </rPr>
      <t>2+</t>
    </r>
    <phoneticPr fontId="179" type="noConversion"/>
  </si>
  <si>
    <t xml:space="preserve"> MẪU GỬI  NHÀ CUNG ỨNG</t>
    <phoneticPr fontId="179" type="noConversion"/>
  </si>
  <si>
    <t>Cr2O3 (TR173AH)</t>
    <phoneticPr fontId="179" type="noConversion"/>
  </si>
  <si>
    <t>&lt;80</t>
    <phoneticPr fontId="179" type="noConversion"/>
  </si>
  <si>
    <r>
      <rPr>
        <sz val="10"/>
        <rFont val="細明體"/>
        <family val="3"/>
        <charset val="136"/>
      </rPr>
      <t>＜</t>
    </r>
    <r>
      <rPr>
        <sz val="10"/>
        <rFont val="Times New Roman"/>
        <family val="1"/>
      </rPr>
      <t>5</t>
    </r>
    <phoneticPr fontId="179"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</si>
  <si>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</si>
  <si>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</si>
  <si>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</si>
  <si>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</si>
  <si>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</si>
  <si>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9" type="noConversion"/>
  </si>
  <si>
    <r>
      <rPr>
        <sz val="10"/>
        <rFont val="細明體"/>
        <family val="3"/>
        <charset val="136"/>
      </rPr>
      <t>＜</t>
    </r>
    <r>
      <rPr>
        <sz val="10"/>
        <rFont val="Times New Roman"/>
        <family val="1"/>
      </rPr>
      <t>70g/L</t>
    </r>
    <phoneticPr fontId="179" type="noConversion"/>
  </si>
  <si>
    <t>1-1.8</t>
    <phoneticPr fontId="211" type="noConversion"/>
  </si>
  <si>
    <t>Màu K (5U109A)
 (XL-1E)</t>
    <phoneticPr fontId="179" type="noConversion"/>
  </si>
  <si>
    <t>Akaline Zinc 
(XL-1F)</t>
    <phoneticPr fontId="179" type="noConversion"/>
  </si>
  <si>
    <t>Akaline Zinc 
(XT-0C)</t>
    <phoneticPr fontId="179" type="noConversion"/>
  </si>
  <si>
    <t>Nickel Zinc 
(XT-0C)</t>
    <phoneticPr fontId="179" type="noConversion"/>
  </si>
  <si>
    <t>Màu K (5U109A)
 (XT-0C)</t>
    <phoneticPr fontId="179"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</si>
  <si>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</si>
  <si>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</si>
  <si>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</si>
  <si>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</si>
  <si>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</si>
  <si>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(K) (Finidip 124)
 (XL-1F)</t>
    <phoneticPr fontId="179" type="noConversion"/>
  </si>
  <si>
    <t>Màu (I) (TR173AH) 
 (XT-0C)</t>
    <phoneticPr fontId="179" type="noConversion"/>
  </si>
  <si>
    <t>Màu (I) (TR173AH) 
(XL-1E)</t>
    <phoneticPr fontId="179"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</si>
  <si>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</si>
  <si>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</si>
  <si>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</si>
  <si>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</si>
  <si>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</si>
  <si>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</si>
  <si>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9"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</si>
  <si>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</si>
  <si>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</si>
  <si>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</si>
  <si>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</si>
  <si>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r>
      <rPr>
        <sz val="10"/>
        <rFont val="細明體"/>
        <family val="3"/>
        <charset val="136"/>
      </rPr>
      <t>＜</t>
    </r>
    <r>
      <rPr>
        <sz val="10"/>
        <rFont val="Times New Roman"/>
        <family val="1"/>
      </rPr>
      <t>70g/L</t>
    </r>
    <phoneticPr fontId="179" type="noConversion"/>
  </si>
  <si>
    <t>g/l</t>
    <phoneticPr fontId="179" type="noConversion"/>
  </si>
  <si>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</si>
  <si>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</si>
  <si>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</si>
  <si>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</si>
  <si>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</si>
  <si>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</si>
  <si>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</si>
  <si>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</si>
  <si>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</si>
  <si>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</si>
  <si>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</si>
  <si>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</si>
  <si>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</si>
  <si>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</si>
  <si>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9" type="noConversion"/>
  </si>
  <si>
    <t>Unit</t>
    <phoneticPr fontId="179"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</si>
  <si>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</si>
  <si>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</si>
  <si>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</si>
  <si>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</si>
  <si>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</si>
  <si>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</si>
  <si>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</si>
  <si>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</si>
  <si>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</si>
  <si>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</si>
  <si>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</si>
  <si>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</si>
  <si>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</si>
  <si>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</si>
  <si>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</si>
  <si>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</si>
  <si>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</si>
  <si>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</si>
  <si>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</si>
  <si>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</si>
  <si>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</si>
  <si>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</si>
  <si>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</si>
  <si>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</si>
  <si>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</si>
  <si>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</si>
  <si>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</si>
  <si>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</si>
  <si>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</si>
  <si>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</si>
  <si>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</si>
  <si>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</si>
  <si>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</si>
  <si>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</si>
  <si>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</si>
  <si>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</si>
  <si>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</si>
  <si>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</si>
  <si>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</si>
  <si>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</si>
  <si>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</si>
  <si>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</si>
  <si>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</si>
  <si>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</si>
  <si>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</si>
  <si>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</si>
  <si>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</si>
  <si>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</si>
  <si>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</si>
  <si>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</si>
  <si>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</si>
  <si>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</si>
  <si>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</si>
  <si>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</si>
  <si>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</si>
  <si>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</si>
  <si>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</si>
  <si>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</si>
  <si>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</si>
  <si>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</si>
  <si>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</si>
  <si>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</si>
  <si>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</si>
  <si>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</si>
  <si>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</si>
  <si>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</si>
  <si>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</si>
  <si>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</si>
  <si>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</si>
  <si>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</si>
  <si>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</si>
  <si>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</si>
  <si>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</si>
  <si>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</si>
  <si>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</si>
  <si>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</si>
  <si>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</si>
  <si>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</si>
  <si>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</si>
  <si>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</si>
  <si>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</si>
  <si>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</si>
  <si>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</si>
  <si>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</si>
  <si>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</si>
  <si>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</si>
  <si>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</si>
  <si>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</si>
  <si>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</si>
  <si>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</si>
  <si>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</si>
  <si>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</si>
  <si>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</si>
  <si>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</si>
  <si>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</si>
  <si>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</si>
  <si>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</si>
  <si>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</si>
  <si>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</si>
  <si>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</si>
  <si>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</si>
  <si>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</si>
  <si>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</si>
  <si>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</si>
  <si>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</si>
  <si>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</si>
  <si>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</si>
  <si>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</si>
  <si>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</si>
  <si>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</si>
  <si>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</si>
  <si>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</si>
  <si>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</si>
  <si>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</si>
  <si>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</si>
  <si>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</si>
  <si>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</si>
  <si>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</si>
  <si>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</si>
  <si>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</si>
  <si>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</si>
  <si>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</si>
  <si>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</si>
  <si>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</si>
  <si>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</si>
  <si>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</si>
  <si>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</si>
  <si>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</si>
  <si>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</si>
  <si>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</si>
  <si>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</si>
  <si>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</si>
  <si>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</si>
  <si>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</si>
  <si>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</si>
  <si>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</si>
  <si>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</si>
  <si>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</si>
  <si>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</si>
  <si>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</si>
  <si>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</si>
  <si>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</si>
  <si>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</si>
  <si>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</si>
  <si>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</si>
  <si>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</si>
  <si>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</si>
  <si>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</si>
  <si>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</si>
  <si>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</si>
  <si>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</si>
  <si>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</si>
  <si>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</si>
  <si>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</si>
  <si>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</si>
  <si>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</si>
  <si>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</si>
  <si>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</si>
  <si>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</si>
  <si>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</si>
  <si>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</si>
  <si>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</si>
  <si>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</si>
  <si>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</si>
  <si>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</si>
  <si>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</si>
  <si>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</si>
  <si>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</si>
  <si>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</si>
  <si>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</si>
  <si>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</si>
  <si>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t>07:15</t>
  </si>
  <si>
    <t>11:15</t>
  </si>
  <si>
    <t>15:15</t>
  </si>
  <si>
    <t>19:15</t>
  </si>
  <si>
    <t>23:15</t>
  </si>
  <si>
    <t>03:15</t>
  </si>
  <si>
    <t>13:30</t>
  </si>
  <si>
    <t>17:00</t>
  </si>
  <si>
    <t>21:00</t>
  </si>
  <si>
    <t>02:00</t>
  </si>
  <si>
    <t>05:00</t>
  </si>
  <si>
    <t>7:15</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</si>
  <si>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</si>
  <si>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</si>
  <si>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</si>
  <si>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</si>
  <si>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</si>
  <si>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</si>
  <si>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</si>
  <si>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</si>
  <si>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</si>
  <si>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</si>
  <si>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</si>
  <si>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</si>
  <si>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</si>
  <si>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</si>
  <si>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</si>
  <si>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</si>
  <si>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</si>
  <si>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</si>
  <si>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</si>
  <si>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</si>
  <si>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</si>
  <si>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</si>
  <si>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</si>
  <si>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</si>
  <si>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</si>
  <si>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</si>
  <si>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</si>
  <si>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</si>
  <si>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</si>
  <si>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</si>
  <si>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</si>
  <si>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</si>
  <si>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</si>
  <si>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</si>
  <si>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</si>
  <si>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</si>
  <si>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</si>
  <si>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</si>
  <si>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</si>
  <si>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</si>
  <si>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</si>
  <si>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</si>
  <si>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</si>
  <si>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</si>
  <si>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</si>
  <si>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</si>
  <si>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</si>
  <si>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</si>
  <si>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Ghi chú  筆記</t>
  </si>
  <si>
    <t>(135 ± 5)</t>
  </si>
  <si>
    <t>130~140</t>
  </si>
  <si>
    <t>(8.5±1)</t>
  </si>
  <si>
    <t>(30±4)</t>
  </si>
  <si>
    <t>(10±2)</t>
  </si>
  <si>
    <t>(140±7)</t>
  </si>
  <si>
    <t>20~35</t>
  </si>
  <si>
    <t>30~40</t>
  </si>
  <si>
    <t>(34±3)</t>
  </si>
  <si>
    <t>80~100</t>
  </si>
  <si>
    <t>(60±10)</t>
  </si>
  <si>
    <t>(50±10)</t>
  </si>
  <si>
    <t>22~28</t>
  </si>
  <si>
    <t>(25±3)</t>
  </si>
  <si>
    <t>(1±0.4)</t>
  </si>
  <si>
    <t>0.126=(0.1*6.301)/5 
CNaOH=0.1
VHCL=5</t>
  </si>
  <si>
    <t>đổi QC ngày 11.11.2023 tất cả 3 chuyền</t>
  </si>
  <si>
    <t>IS16</t>
  </si>
  <si>
    <t>IS17</t>
  </si>
  <si>
    <t xml:space="preserve">40~50 </t>
  </si>
  <si>
    <t>(22±5) =17~27</t>
  </si>
  <si>
    <t>7~10</t>
  </si>
  <si>
    <t>(2.2±0.1)</t>
  </si>
  <si>
    <t>Nồng độ   Cr2O3 （K) 三價鉻</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</si>
  <si>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</si>
  <si>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</si>
  <si>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</si>
  <si>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</si>
  <si>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</si>
  <si>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</si>
  <si>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</si>
  <si>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</si>
  <si>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</si>
  <si>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</si>
  <si>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</si>
  <si>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</si>
  <si>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</si>
  <si>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</si>
  <si>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</si>
  <si>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</si>
  <si>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(2.1±0.1)</t>
  </si>
  <si>
    <t xml:space="preserve">  Cr2O3 （K) (49)
三價鉻 FINIDIP 124</t>
  </si>
  <si>
    <t>Màu (I)  (Lanthane 318)
 (XT-0C)</t>
  </si>
  <si>
    <t>Màu (K) (Finidip 124)
 (XT-0C)</t>
  </si>
  <si>
    <r>
      <t>Zn</t>
    </r>
    <r>
      <rPr>
        <vertAlign val="superscript"/>
        <sz val="11"/>
        <color theme="1"/>
        <rFont val="Times New Roman"/>
        <family val="1"/>
      </rPr>
      <t>2+</t>
    </r>
  </si>
  <si>
    <t>BỔ SUNG CR3+ JASCO</t>
  </si>
  <si>
    <t xml:space="preserve"> Noàng ñoä   Cr2O3  (45,46)-JASCO</t>
  </si>
  <si>
    <t>HCl Đặc 13</t>
  </si>
  <si>
    <t>HCl Đặc 14</t>
  </si>
  <si>
    <t>HCl Đặc  15,16,17</t>
  </si>
  <si>
    <t>Nồng độ acid đặc (13)
鹽酸 濃度</t>
  </si>
  <si>
    <t>Nồng độ acid đặc (14)
鹽酸 濃度</t>
  </si>
  <si>
    <t>thời gian pha mới bồn màu</t>
  </si>
  <si>
    <t>I</t>
  </si>
  <si>
    <t>K</t>
  </si>
  <si>
    <t>1E</t>
  </si>
  <si>
    <t>1F</t>
  </si>
  <si>
    <t>MÀU NI</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</si>
  <si>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</si>
  <si>
    <t>45~60ºC
(50±2oC)</t>
  </si>
  <si>
    <t>03:00</t>
  </si>
  <si>
    <t>Ca II,</t>
  </si>
  <si>
    <t>Màu (I) (Lanthane 318)
(XL-1F)</t>
  </si>
  <si>
    <t>3.XT-C KH</t>
  </si>
  <si>
    <t>Chất bóng 
光亮劑</t>
  </si>
  <si>
    <t>Chất mềm
開缸劑</t>
  </si>
  <si>
    <t>Chất mềm 
開缸劑</t>
  </si>
  <si>
    <r>
      <t xml:space="preserve">Chất bóng 
</t>
    </r>
    <r>
      <rPr>
        <sz val="11"/>
        <color theme="1"/>
        <rFont val="細明體"/>
        <family val="3"/>
        <charset val="136"/>
      </rPr>
      <t>光亮劑</t>
    </r>
  </si>
  <si>
    <t>..\..\..\2. Data hoa nghiem\1. PP HÓA NGHIỆM CÁC BỒN-XLBM\HNO3-XM, XT.pdf</t>
  </si>
  <si>
    <t>..\..\..\2. Data hoa nghiem\1. PP HÓA NGHIỆM CÁC BỒN-XLBM\MÀU K-1F,XT.pdf</t>
  </si>
  <si>
    <t>Hạng mục
項目</t>
  </si>
  <si>
    <t>XL-1E</t>
  </si>
  <si>
    <t>Chuyền</t>
  </si>
  <si>
    <t>XL-1F</t>
  </si>
  <si>
    <t>XT-00C</t>
  </si>
  <si>
    <t>MÀNG LOA</t>
  </si>
  <si>
    <t>RỬA LIỆU</t>
  </si>
  <si>
    <t>SOP HÓA NGHIỆM</t>
  </si>
  <si>
    <t>SOP HOA NGHIEM</t>
  </si>
  <si>
    <r>
      <t xml:space="preserve">Noàng ñoä  axit ñaëc (13)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</si>
  <si>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</si>
  <si>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t>
    </r>
    <r>
      <rPr>
        <sz val="11"/>
        <color theme="1"/>
        <rFont val="標楷體"/>
        <family val="4"/>
        <charset val="136"/>
      </rPr>
      <t>鹽酸</t>
    </r>
    <r>
      <rPr>
        <sz val="11"/>
        <color theme="1"/>
        <rFont val="VNI-Times"/>
      </rPr>
      <t xml:space="preserve"> </t>
    </r>
    <r>
      <rPr>
        <sz val="11"/>
        <color theme="1"/>
        <rFont val="標楷體"/>
        <family val="4"/>
        <charset val="136"/>
      </rPr>
      <t xml:space="preserve">濃度     </t>
    </r>
    <r>
      <rPr>
        <sz val="11"/>
        <color theme="1"/>
        <rFont val="Times New Roman"/>
        <family val="1"/>
      </rPr>
      <t>(15,16,17)</t>
    </r>
  </si>
  <si>
    <t>Nồng độ acid loãng (13)
稀酸 濃度</t>
  </si>
  <si>
    <t>Nồng độ acid đặc (12)
鹽酸 濃度</t>
  </si>
  <si>
    <t>acid 12</t>
  </si>
  <si>
    <r>
      <t xml:space="preserve">Noàng ñoä  axit ñaëc 1 (13)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</si>
  <si>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1 (14)
</t>
    </r>
    <r>
      <rPr>
        <sz val="11"/>
        <color indexed="8"/>
        <rFont val="標楷體"/>
        <family val="4"/>
        <charset val="136"/>
      </rPr>
      <t>鹽酸</t>
    </r>
    <r>
      <rPr>
        <sz val="11"/>
        <color indexed="8"/>
        <rFont val="VNI-Times"/>
      </rPr>
      <t xml:space="preserve"> </t>
    </r>
    <r>
      <rPr>
        <sz val="11"/>
        <color indexed="8"/>
        <rFont val="標楷體"/>
        <family val="4"/>
        <charset val="136"/>
      </rPr>
      <t>濃度</t>
    </r>
  </si>
  <si>
    <t>số 12</t>
  </si>
  <si>
    <r>
      <t xml:space="preserve">Noàng ñoä  axit ñaëc (12)
</t>
    </r>
    <r>
      <rPr>
        <sz val="11"/>
        <color theme="1"/>
        <rFont val="標楷體"/>
        <family val="4"/>
        <charset val="136"/>
      </rPr>
      <t>鹽酸</t>
    </r>
    <r>
      <rPr>
        <sz val="11"/>
        <color theme="1"/>
        <rFont val="VNI-Times"/>
      </rPr>
      <t xml:space="preserve"> </t>
    </r>
    <r>
      <rPr>
        <sz val="11"/>
        <color theme="1"/>
        <rFont val="標楷體"/>
        <family val="4"/>
        <charset val="136"/>
      </rPr>
      <t>濃度</t>
    </r>
  </si>
  <si>
    <t>HCl Đặc 12</t>
  </si>
  <si>
    <t>Ca 1,</t>
  </si>
  <si>
    <t>Ca 2,</t>
  </si>
  <si>
    <t xml:space="preserve"> Noàng ñoä   Cr2O3 (Niken) 三價鉻</t>
  </si>
  <si>
    <t>Nhiệt độ bồn màu Cr2O3 (Niken)  三價鉻 溫度</t>
  </si>
  <si>
    <t>XI ĐEN
15:00</t>
  </si>
  <si>
    <t>XI ĐEN
03:00</t>
  </si>
  <si>
    <t>bổ sung</t>
  </si>
  <si>
    <t>tiêu chuẩn</t>
  </si>
  <si>
    <t>kết quả</t>
  </si>
  <si>
    <t>..\..\..\2. Data hoa nghiem\1. PP HÓA NGHIỆM CÁC BỒN-XLBM\xđ-xb1.pdf</t>
  </si>
  <si>
    <t>..\..\..\2. Data hoa nghiem\1. PP HÓA NGHIỆM CÁC BỒN-XLBM\xđ-xb2,3.pdf</t>
  </si>
  <si>
    <t>..\..\..\2. Data hoa nghiem\1. PP HÓA NGHIỆM CÁC BỒN-XLBM\xđ-acid phân ly.pdf</t>
  </si>
  <si>
    <t>..\..\..\2. Data hoa nghiem\1. PP HÓA NGHIỆM CÁC BỒN-XLBM\xđ-tổng chua.pdf</t>
  </si>
  <si>
    <t>..\..\..\2. Data hoa nghiem\1. PP HÓA NGHIỆM CÁC BỒN-XLBM\xđ-chất rắn.pdf</t>
  </si>
  <si>
    <t>..\..\..\2. Data hoa nghiem\1. PP HÓA NGHIỆM CÁC BỒN-XLBM\xđ-tỷ lệ sắc tố.pdf</t>
  </si>
  <si>
    <t>nhiệt độ</t>
  </si>
  <si>
    <t>giờ bắt đầu</t>
  </si>
  <si>
    <t>gia nhiệt</t>
  </si>
  <si>
    <t xml:space="preserve"> quy định</t>
  </si>
  <si>
    <t>giờ kết thúc</t>
  </si>
  <si>
    <t>15'</t>
  </si>
  <si>
    <t>30'</t>
  </si>
  <si>
    <t>5'</t>
  </si>
  <si>
    <t>10'</t>
  </si>
  <si>
    <t>3h</t>
  </si>
  <si>
    <t>tắt lò nung</t>
  </si>
  <si>
    <t>gấp ra khỏi lò, để nguội --&gt; cân</t>
  </si>
  <si>
    <t>2h</t>
  </si>
  <si>
    <r>
      <t>105</t>
    </r>
    <r>
      <rPr>
        <b/>
        <vertAlign val="superscript"/>
        <sz val="14"/>
        <color theme="1"/>
        <rFont val="Times New Roman"/>
        <family val="1"/>
      </rPr>
      <t>O</t>
    </r>
    <r>
      <rPr>
        <b/>
        <sz val="14"/>
        <color theme="1"/>
        <rFont val="Times New Roman"/>
        <family val="1"/>
      </rPr>
      <t>C</t>
    </r>
  </si>
  <si>
    <r>
      <t>135</t>
    </r>
    <r>
      <rPr>
        <b/>
        <vertAlign val="superscript"/>
        <sz val="14"/>
        <color theme="1"/>
        <rFont val="Times New Roman"/>
        <family val="1"/>
      </rPr>
      <t>O</t>
    </r>
    <r>
      <rPr>
        <b/>
        <sz val="14"/>
        <color theme="1"/>
        <rFont val="Times New Roman"/>
        <family val="1"/>
      </rPr>
      <t>C</t>
    </r>
  </si>
  <si>
    <r>
      <t>167</t>
    </r>
    <r>
      <rPr>
        <b/>
        <vertAlign val="superscript"/>
        <sz val="14"/>
        <color theme="1"/>
        <rFont val="Times New Roman"/>
        <family val="1"/>
      </rPr>
      <t>O</t>
    </r>
    <r>
      <rPr>
        <b/>
        <sz val="14"/>
        <color theme="1"/>
        <rFont val="Times New Roman"/>
        <family val="1"/>
      </rPr>
      <t>C</t>
    </r>
  </si>
  <si>
    <r>
      <t>760</t>
    </r>
    <r>
      <rPr>
        <b/>
        <vertAlign val="superscript"/>
        <sz val="14"/>
        <color theme="1"/>
        <rFont val="Times New Roman"/>
        <family val="1"/>
      </rPr>
      <t>O</t>
    </r>
    <r>
      <rPr>
        <b/>
        <sz val="14"/>
        <color theme="1"/>
        <rFont val="Times New Roman"/>
        <family val="1"/>
      </rPr>
      <t>C</t>
    </r>
  </si>
  <si>
    <t>Cr2O3   三價鉻Ni-       PH
HALO Pha mới: 2024/03/30</t>
  </si>
  <si>
    <t>MÀU NIKEN</t>
  </si>
  <si>
    <t>ml/l</t>
  </si>
  <si>
    <t xml:space="preserve">Nồng độ màu niken 129 partA   三價鉻濃度Ni-Ken 129 partA         </t>
  </si>
  <si>
    <t>mlL</t>
  </si>
  <si>
    <t xml:space="preserve">Nồng độ màu niken 129 partA   
三價鉻濃度Ni-Ken 129 partA  </t>
  </si>
  <si>
    <t xml:space="preserve">Nồng độ màu niken 129 partA   三價鉻濃度Ni-Ken 129 partA    </t>
  </si>
  <si>
    <t>lệch +10% so với ICP, do đó CT -10%</t>
  </si>
  <si>
    <t>1.5~1.9</t>
  </si>
  <si>
    <t>(1.7±0.1 )</t>
  </si>
  <si>
    <t>Pha mới: 2024/06/22</t>
  </si>
  <si>
    <t>3''.XT-C KH</t>
  </si>
  <si>
    <t>3'.XT-C KH</t>
  </si>
  <si>
    <t>10~20</t>
  </si>
  <si>
    <t>(15±5)</t>
  </si>
  <si>
    <t>ml/1000
AH</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</si>
  <si>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</si>
  <si>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</si>
  <si>
    <t>12~18 %</t>
  </si>
  <si>
    <t>(14±2%)</t>
  </si>
  <si>
    <t xml:space="preserve"> Noàng ñoä   Cr2O3  (46)
三價鉻</t>
  </si>
  <si>
    <t>Nồng độ Cr2O3 
三價鉻(  45)</t>
  </si>
  <si>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(45)</t>
    </r>
  </si>
  <si>
    <r>
      <t>Nhieät ñoä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 (46)</t>
    </r>
  </si>
  <si>
    <r>
      <t xml:space="preserve">Nhieät ñoä nöôùc noùng
</t>
    </r>
    <r>
      <rPr>
        <sz val="11"/>
        <color theme="1"/>
        <rFont val="標楷體"/>
        <family val="4"/>
        <charset val="136"/>
      </rPr>
      <t>熱水溫度</t>
    </r>
    <r>
      <rPr>
        <sz val="11"/>
        <color theme="1"/>
        <rFont val="VNI-Times"/>
      </rPr>
      <t xml:space="preserve"> </t>
    </r>
  </si>
  <si>
    <r>
      <t xml:space="preserve">Nhieät ñoä  xaø boâng noùng 1
 </t>
    </r>
    <r>
      <rPr>
        <sz val="11"/>
        <color theme="1"/>
        <rFont val="標楷體"/>
        <family val="4"/>
        <charset val="136"/>
      </rPr>
      <t>熱脫脂溫度</t>
    </r>
  </si>
  <si>
    <r>
      <t xml:space="preserve">Nhieät ñoä xaø boâng noùng 2
 </t>
    </r>
    <r>
      <rPr>
        <sz val="11"/>
        <color theme="1"/>
        <rFont val="標楷體"/>
        <family val="4"/>
        <charset val="136"/>
      </rPr>
      <t>熱脫脂溫度</t>
    </r>
  </si>
  <si>
    <r>
      <t xml:space="preserve">Nhieät ñoä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</si>
  <si>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Nhiệt độ bồn màu Cr</t>
    </r>
    <r>
      <rPr>
        <vertAlign val="subscript"/>
        <sz val="11"/>
        <color rgb="FF0000FF"/>
        <rFont val="Times New Roman"/>
        <family val="1"/>
      </rPr>
      <t>2</t>
    </r>
    <r>
      <rPr>
        <sz val="11"/>
        <color rgb="FF0000FF"/>
        <rFont val="Times New Roman"/>
        <family val="1"/>
      </rPr>
      <t>O</t>
    </r>
    <r>
      <rPr>
        <vertAlign val="subscript"/>
        <sz val="11"/>
        <color rgb="FF0000FF"/>
        <rFont val="Times New Roman"/>
        <family val="1"/>
      </rPr>
      <t>3</t>
    </r>
    <r>
      <rPr>
        <sz val="11"/>
        <color rgb="FF0000FF"/>
        <rFont val="Times New Roman"/>
        <family val="1"/>
      </rPr>
      <t xml:space="preserve">
</t>
    </r>
    <r>
      <rPr>
        <sz val="11"/>
        <color rgb="FF0000FF"/>
        <rFont val="細明體"/>
        <family val="3"/>
        <charset val="136"/>
      </rPr>
      <t>三價鉻</t>
    </r>
    <r>
      <rPr>
        <sz val="11"/>
        <color rgb="FF0000FF"/>
        <rFont val="Times New Roman"/>
        <family val="1"/>
      </rPr>
      <t xml:space="preserve"> </t>
    </r>
    <r>
      <rPr>
        <sz val="11"/>
        <color rgb="FF0000FF"/>
        <rFont val="細明體"/>
        <family val="3"/>
        <charset val="136"/>
      </rPr>
      <t>溫度</t>
    </r>
    <r>
      <rPr>
        <sz val="11"/>
        <color rgb="FF0000FF"/>
        <rFont val="Times New Roman"/>
        <family val="1"/>
      </rPr>
      <t xml:space="preserve"> (45)</t>
    </r>
  </si>
  <si>
    <t>(1.7 ±0.1)</t>
  </si>
  <si>
    <t>EC-508A: 25kg/EC-508B:6-10L</t>
    <phoneticPr fontId="7" type="noConversion"/>
  </si>
  <si>
    <t>Pha mới: 2024/06/27</t>
  </si>
  <si>
    <t>0.5~1.0</t>
  </si>
  <si>
    <t>(0.7±0.1)</t>
  </si>
  <si>
    <t>生產線別：XI ĐEN - epoxy 電著線</t>
  </si>
  <si>
    <r>
      <rPr>
        <sz val="16"/>
        <color theme="1"/>
        <rFont val="細明體"/>
        <family val="3"/>
        <charset val="136"/>
      </rPr>
      <t>生產線別：</t>
    </r>
    <r>
      <rPr>
        <sz val="16"/>
        <color theme="1"/>
        <rFont val="Times New Roman"/>
        <family val="1"/>
      </rPr>
      <t>XI ĐEN - epoxy 電著線</t>
    </r>
  </si>
  <si>
    <r>
      <t xml:space="preserve">Boàn xi (26-35)
</t>
    </r>
    <r>
      <rPr>
        <sz val="11"/>
        <color theme="1"/>
        <rFont val="細明體"/>
        <family val="3"/>
        <charset val="136"/>
      </rPr>
      <t xml:space="preserve">鋅電鍍槽
</t>
    </r>
    <r>
      <rPr>
        <sz val="11"/>
        <color theme="1"/>
        <rFont val="VNI-Times"/>
      </rPr>
      <t>Zinc Plating</t>
    </r>
  </si>
  <si>
    <t>鋅鎳合金電鍍槽
Zn-Niken Plating
(36-37)</t>
  </si>
  <si>
    <t xml:space="preserve"> Noàng ñoä   Cr2O3 (Niken) 三價鉻 (49)</t>
  </si>
  <si>
    <t>NaOH (26-35)
氫氧化鈉</t>
  </si>
  <si>
    <t>Zn  鋅 (26-35)
(1 pcs Zn=25kg)</t>
  </si>
  <si>
    <t>Nồng độ   Cr2O3 （K)
三價鉻 (49)</t>
  </si>
  <si>
    <r>
      <t xml:space="preserve">Boàn xi (26-35)
</t>
    </r>
    <r>
      <rPr>
        <sz val="11"/>
        <rFont val="細明體"/>
        <family val="3"/>
        <charset val="136"/>
      </rPr>
      <t xml:space="preserve">鋅電鍍槽
</t>
    </r>
    <r>
      <rPr>
        <sz val="11"/>
        <rFont val="VNI-Times"/>
      </rPr>
      <t>Zinc Plating</t>
    </r>
  </si>
  <si>
    <t>Zn-Niken Plating-   Zn  (36,37)</t>
  </si>
  <si>
    <t xml:space="preserve">Nồng độ màu niken 129 partA   三價鉻濃度Ni-Ken 129 partA  (52)        </t>
  </si>
  <si>
    <t>鋅鎳合金電鍍槽
Zn-Niken Plating
(36,37)</t>
  </si>
  <si>
    <t>Màu niken
三價鉻 (52)</t>
  </si>
  <si>
    <t>Pha mới: 2024/07/28</t>
  </si>
  <si>
    <t>2024/08/01</t>
  </si>
  <si>
    <t>KO SX</t>
  </si>
  <si>
    <t>Pha mới: 2024/08/01</t>
  </si>
  <si>
    <t>chưa mở</t>
  </si>
  <si>
    <t>chưa fa</t>
  </si>
  <si>
    <t>ko sx</t>
  </si>
  <si>
    <t>CÓ</t>
  </si>
  <si>
    <t>8/1/2024  9:45:00 AM</t>
  </si>
  <si>
    <t>8/1/2024  11:45:00 AM</t>
  </si>
  <si>
    <t>8/1/2024  4:30:00 PM</t>
  </si>
  <si>
    <t>thêm nước</t>
  </si>
  <si>
    <t>8/1/2024  6:00:00 PM</t>
  </si>
  <si>
    <t xml:space="preserve">SHOP </t>
  </si>
  <si>
    <t>8/1/2024  9:45:00 PM</t>
  </si>
  <si>
    <t>Có</t>
  </si>
  <si>
    <t xml:space="preserve">chỉnh màu </t>
  </si>
  <si>
    <t>có</t>
  </si>
  <si>
    <t>8/1/2024  11:45:00 PM</t>
  </si>
  <si>
    <t xml:space="preserve">ko sx </t>
  </si>
  <si>
    <t xml:space="preserve">ko sx  </t>
  </si>
  <si>
    <t>8/1/2024  4:00:00 AM</t>
  </si>
  <si>
    <t>8/1/2024  6:00:00 AM</t>
  </si>
  <si>
    <t>Thứ 5,</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</si>
</sst>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 numFmtId="193" formatCode="[$-1010000]yyyy/mm/dd;@"/>
  </numFmts>
  <fonts count="251">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name val="Calibri"/>
      <family val="1"/>
      <charset val="136"/>
      <scheme val="minor"/>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sz val="36"/>
      <color rgb="FF0000FF"/>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sz val="18"/>
      <name val="Times New Roman"/>
      <family val="1"/>
    </font>
    <font>
      <b/>
      <sz val="14"/>
      <color indexed="81"/>
      <name val="Tahoma"/>
      <family val="2"/>
    </font>
    <font>
      <sz val="14"/>
      <color theme="8" tint="-0.249977111117893"/>
      <name val="Times New Roman"/>
      <family val="1"/>
    </font>
    <font>
      <sz val="12"/>
      <color theme="0"/>
      <name val="Times New Roman"/>
      <family val="1"/>
    </font>
    <font>
      <b/>
      <vertAlign val="superscript"/>
      <sz val="14"/>
      <color theme="1"/>
      <name val="Times New Roman"/>
      <family val="1"/>
    </font>
    <font>
      <b/>
      <sz val="14"/>
      <color indexed="17"/>
      <name val="Times New Roman"/>
      <family val="1"/>
    </font>
    <font>
      <sz val="11"/>
      <color theme="0"/>
      <name val="VNI-Times"/>
    </font>
    <font>
      <vertAlign val="subscript"/>
      <sz val="11"/>
      <color rgb="FF0000FF"/>
      <name val="Times New Roman"/>
      <family val="1"/>
    </font>
  </fonts>
  <fills count="62">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
      <patternFill patternType="solid">
        <fgColor rgb="FF99FF66"/>
        <bgColor indexed="64"/>
      </patternFill>
    </fill>
    <fill>
      <patternFill patternType="solid">
        <fgColor rgb="FF7030A0"/>
        <bgColor indexed="64"/>
      </patternFill>
    </fill>
    <fill>
      <patternFill patternType="solid">
        <fgColor theme="8" tint="0.59999389629810485"/>
        <bgColor indexed="64"/>
      </patternFill>
    </fill>
  </fills>
  <borders count="2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rgb="FF0000FF"/>
      </right>
      <top style="thin">
        <color rgb="FF0000FF"/>
      </top>
      <bottom style="thin">
        <color rgb="FF0000FF"/>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right/>
      <top style="medium">
        <color rgb="FFFF0000"/>
      </top>
      <bottom style="thin">
        <color indexed="64"/>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right style="medium">
        <color rgb="FF0000FF"/>
      </right>
      <top style="thin">
        <color indexed="64"/>
      </top>
      <bottom style="thin">
        <color indexed="64"/>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
      <left/>
      <right style="hair">
        <color indexed="64"/>
      </right>
      <top style="thin">
        <color indexed="64"/>
      </top>
      <bottom/>
      <diagonal/>
    </border>
    <border>
      <left style="thin">
        <color rgb="FFFF0000"/>
      </left>
      <right/>
      <top style="thin">
        <color rgb="FFFF0000"/>
      </top>
      <bottom/>
      <diagonal/>
    </border>
    <border>
      <left/>
      <right/>
      <top style="thin">
        <color rgb="FFFF0000"/>
      </top>
      <bottom/>
      <diagonal/>
    </border>
    <border>
      <left/>
      <right style="thin">
        <color indexed="64"/>
      </right>
      <top style="thin">
        <color rgb="FFFF0000"/>
      </top>
      <bottom/>
      <diagonal/>
    </border>
    <border>
      <left style="thin">
        <color indexed="64"/>
      </left>
      <right style="thin">
        <color indexed="64"/>
      </right>
      <top style="thin">
        <color rgb="FFFF0000"/>
      </top>
      <bottom style="thin">
        <color indexed="64"/>
      </bottom>
      <diagonal/>
    </border>
    <border>
      <left style="thin">
        <color indexed="64"/>
      </left>
      <right style="medium">
        <color rgb="FF0000FF"/>
      </right>
      <top style="thin">
        <color rgb="FFFF0000"/>
      </top>
      <bottom style="thin">
        <color indexed="64"/>
      </bottom>
      <diagonal/>
    </border>
    <border>
      <left/>
      <right style="hair">
        <color indexed="64"/>
      </right>
      <top style="thin">
        <color rgb="FFFF0000"/>
      </top>
      <bottom style="thin">
        <color indexed="64"/>
      </bottom>
      <diagonal/>
    </border>
    <border>
      <left style="thin">
        <color indexed="64"/>
      </left>
      <right/>
      <top style="thin">
        <color rgb="FFFF0000"/>
      </top>
      <bottom style="thin">
        <color indexed="64"/>
      </bottom>
      <diagonal/>
    </border>
    <border>
      <left style="thin">
        <color indexed="9"/>
      </left>
      <right style="thin">
        <color indexed="64"/>
      </right>
      <top style="thin">
        <color rgb="FFFF0000"/>
      </top>
      <bottom style="thin">
        <color indexed="64"/>
      </bottom>
      <diagonal/>
    </border>
    <border>
      <left/>
      <right/>
      <top style="thin">
        <color rgb="FFFF0000"/>
      </top>
      <bottom style="thin">
        <color indexed="64"/>
      </bottom>
      <diagonal/>
    </border>
    <border>
      <left style="thin">
        <color indexed="64"/>
      </left>
      <right style="hair">
        <color indexed="64"/>
      </right>
      <top style="thin">
        <color rgb="FFFF0000"/>
      </top>
      <bottom style="hair">
        <color indexed="64"/>
      </bottom>
      <diagonal/>
    </border>
    <border>
      <left style="hair">
        <color indexed="64"/>
      </left>
      <right style="hair">
        <color indexed="64"/>
      </right>
      <top style="thin">
        <color rgb="FFFF0000"/>
      </top>
      <bottom style="hair">
        <color indexed="64"/>
      </bottom>
      <diagonal/>
    </border>
    <border>
      <left style="hair">
        <color indexed="64"/>
      </left>
      <right style="thin">
        <color indexed="64"/>
      </right>
      <top style="thin">
        <color rgb="FFFF0000"/>
      </top>
      <bottom style="hair">
        <color indexed="64"/>
      </bottom>
      <diagonal/>
    </border>
    <border>
      <left style="thin">
        <color indexed="64"/>
      </left>
      <right style="hair">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indexed="64"/>
      </right>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medium">
        <color rgb="FF0000FF"/>
      </right>
      <top style="thin">
        <color indexed="64"/>
      </top>
      <bottom style="thin">
        <color rgb="FFFF0000"/>
      </bottom>
      <diagonal/>
    </border>
    <border>
      <left/>
      <right style="hair">
        <color indexed="64"/>
      </right>
      <top style="thin">
        <color indexed="64"/>
      </top>
      <bottom style="thin">
        <color rgb="FFFF0000"/>
      </bottom>
      <diagonal/>
    </border>
    <border>
      <left style="thin">
        <color indexed="64"/>
      </left>
      <right/>
      <top style="thin">
        <color indexed="64"/>
      </top>
      <bottom style="thin">
        <color rgb="FFFF0000"/>
      </bottom>
      <diagonal/>
    </border>
    <border>
      <left style="thin">
        <color indexed="9"/>
      </left>
      <right style="thin">
        <color indexed="64"/>
      </right>
      <top style="thin">
        <color indexed="64"/>
      </top>
      <bottom style="thin">
        <color rgb="FFFF0000"/>
      </bottom>
      <diagonal/>
    </border>
    <border>
      <left/>
      <right/>
      <top style="thin">
        <color indexed="64"/>
      </top>
      <bottom style="thin">
        <color rgb="FFFF0000"/>
      </bottom>
      <diagonal/>
    </border>
    <border>
      <left style="thin">
        <color indexed="64"/>
      </left>
      <right style="hair">
        <color indexed="64"/>
      </right>
      <top style="hair">
        <color indexed="64"/>
      </top>
      <bottom style="thin">
        <color rgb="FFFF0000"/>
      </bottom>
      <diagonal/>
    </border>
    <border>
      <left style="hair">
        <color indexed="64"/>
      </left>
      <right style="hair">
        <color indexed="64"/>
      </right>
      <top style="hair">
        <color indexed="64"/>
      </top>
      <bottom style="thin">
        <color rgb="FFFF0000"/>
      </bottom>
      <diagonal/>
    </border>
    <border>
      <left style="hair">
        <color indexed="64"/>
      </left>
      <right style="thin">
        <color indexed="64"/>
      </right>
      <top style="hair">
        <color indexed="64"/>
      </top>
      <bottom style="thin">
        <color rgb="FFFF0000"/>
      </bottom>
      <diagonal/>
    </border>
    <border>
      <left style="thin">
        <color indexed="64"/>
      </left>
      <right style="hair">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medium">
        <color rgb="FF0000FF"/>
      </right>
      <top style="thin">
        <color rgb="FFFF0000"/>
      </top>
      <bottom style="thin">
        <color rgb="FFFF0000"/>
      </bottom>
      <diagonal/>
    </border>
    <border>
      <left/>
      <right style="hair">
        <color indexed="64"/>
      </right>
      <top style="thin">
        <color rgb="FFFF0000"/>
      </top>
      <bottom style="thin">
        <color rgb="FFFF0000"/>
      </bottom>
      <diagonal/>
    </border>
    <border>
      <left style="hair">
        <color indexed="64"/>
      </left>
      <right style="hair">
        <color indexed="64"/>
      </right>
      <top style="thin">
        <color rgb="FFFF0000"/>
      </top>
      <bottom style="thin">
        <color rgb="FFFF0000"/>
      </bottom>
      <diagonal/>
    </border>
    <border>
      <left style="thin">
        <color indexed="64"/>
      </left>
      <right style="hair">
        <color indexed="64"/>
      </right>
      <top style="thin">
        <color rgb="FFFF0000"/>
      </top>
      <bottom style="thin">
        <color rgb="FFFF0000"/>
      </bottom>
      <diagonal/>
    </border>
    <border>
      <left style="thin">
        <color indexed="64"/>
      </left>
      <right/>
      <top style="thin">
        <color rgb="FFFF0000"/>
      </top>
      <bottom style="thin">
        <color rgb="FFFF0000"/>
      </bottom>
      <diagonal/>
    </border>
    <border>
      <left style="hair">
        <color indexed="64"/>
      </left>
      <right style="thin">
        <color rgb="FFFF0000"/>
      </right>
      <top style="thin">
        <color rgb="FFFF0000"/>
      </top>
      <bottom style="thin">
        <color rgb="FFFF0000"/>
      </bottom>
      <diagonal/>
    </border>
    <border>
      <left/>
      <right style="thin">
        <color indexed="64"/>
      </right>
      <top style="thin">
        <color rgb="FFFF0000"/>
      </top>
      <bottom style="thin">
        <color indexed="64"/>
      </bottom>
      <diagonal/>
    </border>
    <border>
      <left style="thin">
        <color rgb="FFFF0000"/>
      </left>
      <right/>
      <top/>
      <bottom/>
      <diagonal/>
    </border>
    <border>
      <left style="thin">
        <color indexed="64"/>
      </left>
      <right style="thin">
        <color rgb="FFFF0000"/>
      </right>
      <top style="thin">
        <color indexed="64"/>
      </top>
      <bottom style="thin">
        <color indexed="64"/>
      </bottom>
      <diagonal/>
    </border>
    <border>
      <left style="thin">
        <color rgb="FFFF0000"/>
      </left>
      <right/>
      <top style="thin">
        <color indexed="64"/>
      </top>
      <bottom style="thin">
        <color rgb="FFFF0000"/>
      </bottom>
      <diagonal/>
    </border>
    <border>
      <left/>
      <right style="thin">
        <color indexed="64"/>
      </right>
      <top style="thin">
        <color indexed="64"/>
      </top>
      <bottom style="thin">
        <color rgb="FFFF0000"/>
      </bottom>
      <diagonal/>
    </border>
    <border>
      <left style="medium">
        <color rgb="FF0000FF"/>
      </left>
      <right/>
      <top style="thin">
        <color indexed="64"/>
      </top>
      <bottom style="thin">
        <color indexed="64"/>
      </bottom>
      <diagonal/>
    </border>
    <border>
      <left/>
      <right/>
      <top style="thin">
        <color indexed="64"/>
      </top>
      <bottom style="hair">
        <color indexed="64"/>
      </bottom>
      <diagonal/>
    </border>
    <border>
      <left style="thin">
        <color indexed="64"/>
      </left>
      <right style="thin">
        <color rgb="FF0000FF"/>
      </right>
      <top style="thin">
        <color rgb="FF0000FF"/>
      </top>
      <bottom style="thin">
        <color indexed="64"/>
      </bottom>
      <diagonal/>
    </border>
    <border>
      <left style="thin">
        <color indexed="64"/>
      </left>
      <right style="thin">
        <color rgb="FFFF0000"/>
      </right>
      <top style="thin">
        <color indexed="64"/>
      </top>
      <bottom/>
      <diagonal/>
    </border>
    <border>
      <left style="thin">
        <color indexed="64"/>
      </left>
      <right style="hair">
        <color indexed="64"/>
      </right>
      <top style="thin">
        <color rgb="FFFF0000"/>
      </top>
      <bottom/>
      <diagonal/>
    </border>
    <border>
      <left style="medium">
        <color rgb="FFFF0000"/>
      </left>
      <right style="thin">
        <color indexed="64"/>
      </right>
      <top style="thin">
        <color indexed="64"/>
      </top>
      <bottom style="thin">
        <color auto="1"/>
      </bottom>
      <diagonal/>
    </border>
    <border>
      <left style="medium">
        <color rgb="FFFF0000"/>
      </left>
      <right style="thin">
        <color indexed="64"/>
      </right>
      <top/>
      <bottom style="medium">
        <color rgb="FFFF0000"/>
      </bottom>
      <diagonal/>
    </border>
    <border>
      <left style="thin">
        <color indexed="64"/>
      </left>
      <right style="thin">
        <color indexed="64"/>
      </right>
      <top/>
      <bottom style="medium">
        <color rgb="FFFF0000"/>
      </bottom>
      <diagonal/>
    </border>
    <border>
      <left style="thin">
        <color indexed="64"/>
      </left>
      <right style="medium">
        <color rgb="FF0000FF"/>
      </right>
      <top/>
      <bottom style="medium">
        <color rgb="FFFF0000"/>
      </bottom>
      <diagonal/>
    </border>
    <border>
      <left style="hair">
        <color indexed="64"/>
      </left>
      <right style="medium">
        <color rgb="FFFF0000"/>
      </right>
      <top style="thin">
        <color indexed="64"/>
      </top>
      <bottom style="medium">
        <color rgb="FFFF0000"/>
      </bottom>
      <diagonal/>
    </border>
    <border>
      <left style="thin">
        <color indexed="64"/>
      </left>
      <right style="medium">
        <color rgb="FF0000FF"/>
      </right>
      <top/>
      <bottom/>
      <diagonal/>
    </border>
    <border>
      <left style="thin">
        <color indexed="64"/>
      </left>
      <right style="thin">
        <color indexed="64"/>
      </right>
      <top/>
      <bottom style="thin">
        <color rgb="FFFF0000"/>
      </bottom>
      <diagonal/>
    </border>
    <border>
      <left style="thin">
        <color indexed="64"/>
      </left>
      <right style="medium">
        <color rgb="FF0000FF"/>
      </right>
      <top/>
      <bottom style="thin">
        <color rgb="FFFF0000"/>
      </bottom>
      <diagonal/>
    </border>
    <border>
      <left style="thin">
        <color rgb="FFFF0000"/>
      </left>
      <right/>
      <top/>
      <bottom style="thin">
        <color indexed="64"/>
      </bottom>
      <diagonal/>
    </border>
    <border>
      <left style="thin">
        <color rgb="FFFF0000"/>
      </left>
      <right/>
      <top style="thin">
        <color indexed="64"/>
      </top>
      <bottom/>
      <diagonal/>
    </border>
    <border>
      <left style="thin">
        <color indexed="64"/>
      </left>
      <right style="thin">
        <color rgb="FFFF0000"/>
      </right>
      <top/>
      <bottom style="thin">
        <color rgb="FFFF0000"/>
      </bottom>
      <diagonal/>
    </border>
    <border>
      <left style="thin">
        <color indexed="64"/>
      </left>
      <right style="hair">
        <color indexed="64"/>
      </right>
      <top/>
      <bottom style="thin">
        <color rgb="FFFF0000"/>
      </bottom>
      <diagonal/>
    </border>
    <border>
      <left style="hair">
        <color indexed="64"/>
      </left>
      <right style="hair">
        <color indexed="64"/>
      </right>
      <top/>
      <bottom style="thin">
        <color rgb="FFFF0000"/>
      </bottom>
      <diagonal/>
    </border>
    <border>
      <left style="hair">
        <color indexed="64"/>
      </left>
      <right style="thin">
        <color indexed="64"/>
      </right>
      <top/>
      <bottom style="thin">
        <color rgb="FFFF0000"/>
      </bottom>
      <diagonal/>
    </border>
    <border>
      <left style="thin">
        <color indexed="64"/>
      </left>
      <right/>
      <top/>
      <bottom style="thin">
        <color rgb="FFFF0000"/>
      </bottom>
      <diagonal/>
    </border>
    <border>
      <left style="thin">
        <color indexed="9"/>
      </left>
      <right style="thin">
        <color indexed="64"/>
      </right>
      <top/>
      <bottom style="thin">
        <color rgb="FFFF0000"/>
      </bottom>
      <diagonal/>
    </border>
    <border>
      <left style="medium">
        <color rgb="FF0000FF"/>
      </left>
      <right style="thin">
        <color indexed="64"/>
      </right>
      <top style="thin">
        <color indexed="64"/>
      </top>
      <bottom style="thin">
        <color rgb="FFFF0000"/>
      </bottom>
      <diagonal/>
    </border>
    <border>
      <left style="hair">
        <color indexed="64"/>
      </left>
      <right/>
      <top/>
      <bottom style="thin">
        <color rgb="FFFF0000"/>
      </bottom>
      <diagonal/>
    </border>
    <border>
      <left style="hair">
        <color indexed="64"/>
      </left>
      <right style="thin">
        <color indexed="64"/>
      </right>
      <top/>
      <bottom style="thin">
        <color indexed="64"/>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80" fillId="0" borderId="0" applyNumberFormat="0" applyFill="0" applyBorder="0" applyAlignment="0" applyProtection="0">
      <alignment vertical="center"/>
    </xf>
    <xf numFmtId="0" fontId="181" fillId="0" borderId="71" applyNumberFormat="0" applyFill="0" applyAlignment="0" applyProtection="0">
      <alignment vertical="center"/>
    </xf>
    <xf numFmtId="0" fontId="182" fillId="0" borderId="72" applyNumberFormat="0" applyFill="0" applyAlignment="0" applyProtection="0">
      <alignment vertical="center"/>
    </xf>
    <xf numFmtId="0" fontId="183" fillId="0" borderId="73" applyNumberFormat="0" applyFill="0" applyAlignment="0" applyProtection="0">
      <alignment vertical="center"/>
    </xf>
    <xf numFmtId="0" fontId="183" fillId="0" borderId="0" applyNumberFormat="0" applyFill="0" applyBorder="0" applyAlignment="0" applyProtection="0">
      <alignment vertical="center"/>
    </xf>
    <xf numFmtId="0" fontId="184" fillId="46" borderId="74" applyNumberFormat="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47" borderId="75" applyNumberFormat="0" applyAlignment="0" applyProtection="0">
      <alignment vertical="center"/>
    </xf>
    <xf numFmtId="0" fontId="188" fillId="48" borderId="75" applyNumberFormat="0" applyAlignment="0" applyProtection="0">
      <alignment vertical="center"/>
    </xf>
    <xf numFmtId="0" fontId="189" fillId="47" borderId="76" applyNumberFormat="0" applyAlignment="0" applyProtection="0">
      <alignment vertical="center"/>
    </xf>
    <xf numFmtId="0" fontId="190" fillId="49" borderId="0" applyNumberFormat="0" applyBorder="0" applyAlignment="0" applyProtection="0">
      <alignment vertical="center"/>
    </xf>
  </cellStyleXfs>
  <cellXfs count="3974">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104" fillId="38" borderId="6" xfId="7"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6"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6"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10" borderId="1" xfId="82" quotePrefix="1" applyNumberFormat="1" applyFont="1" applyFill="1" applyBorder="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6" fillId="0" borderId="0" xfId="82" applyFont="1" applyFill="1" applyAlignment="1">
      <alignment horizontal="left"/>
    </xf>
    <xf numFmtId="0" fontId="173" fillId="35" borderId="1" xfId="82" applyFont="1" applyFill="1" applyBorder="1"/>
    <xf numFmtId="43" fontId="174" fillId="35" borderId="1" xfId="1" applyNumberFormat="1" applyFont="1" applyFill="1" applyBorder="1" applyAlignment="1"/>
    <xf numFmtId="0" fontId="173" fillId="35" borderId="0" xfId="82" applyFont="1" applyFill="1"/>
    <xf numFmtId="0" fontId="175" fillId="35" borderId="0" xfId="82" applyFont="1" applyFill="1"/>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3"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68" fillId="0" borderId="0" xfId="8" applyFont="1" applyFill="1" applyAlignment="1" applyProtection="1">
      <alignment horizontal="center" vertical="center"/>
    </xf>
    <xf numFmtId="0" fontId="194"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4"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4"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5"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9"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1"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2" fillId="0" borderId="0" xfId="0" applyFont="1" applyFill="1" applyAlignment="1" applyProtection="1">
      <alignment horizontal="center" vertical="center" wrapText="1"/>
    </xf>
    <xf numFmtId="49" fontId="201" fillId="0" borderId="1" xfId="0" applyNumberFormat="1" applyFont="1" applyBorder="1" applyAlignment="1">
      <alignment horizontal="center" vertical="center"/>
    </xf>
    <xf numFmtId="0" fontId="202"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3"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73" fillId="0" borderId="0" xfId="0" applyFont="1" applyFill="1" applyAlignment="1" applyProtection="1">
      <alignment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0" borderId="5" xfId="0" applyFont="1" applyFill="1" applyBorder="1" applyAlignment="1">
      <alignment horizontal="center"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8"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9" xfId="0" applyFont="1" applyFill="1" applyBorder="1" applyAlignment="1">
      <alignment vertical="center" wrapText="1"/>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52" fillId="0" borderId="1" xfId="4" quotePrefix="1" applyFont="1" applyBorder="1" applyAlignment="1">
      <alignment horizontal="center" vertical="center"/>
    </xf>
    <xf numFmtId="0" fontId="209"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38" fillId="0" borderId="1" xfId="0" applyFont="1" applyFill="1" applyBorder="1" applyAlignment="1">
      <alignment horizontal="center" vertical="center"/>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5" fillId="0" borderId="0" xfId="0" applyFont="1" applyFill="1" applyAlignment="1">
      <alignment horizontal="centerContinuous" vertical="center"/>
    </xf>
    <xf numFmtId="0" fontId="215"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8" fillId="13" borderId="1" xfId="4" applyFont="1" applyFill="1" applyBorder="1">
      <alignment vertical="center"/>
    </xf>
    <xf numFmtId="0" fontId="219" fillId="13" borderId="1" xfId="4" applyFont="1" applyFill="1" applyBorder="1">
      <alignment vertical="center"/>
    </xf>
    <xf numFmtId="0" fontId="219" fillId="13" borderId="1" xfId="4" applyFont="1" applyFill="1" applyBorder="1" applyAlignment="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20" fillId="0" borderId="1" xfId="0" applyFont="1" applyFill="1" applyBorder="1" applyAlignment="1" applyProtection="1">
      <alignment horizontal="center" vertical="center"/>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2"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4" fillId="0" borderId="0" xfId="0" applyFont="1" applyFill="1" applyAlignment="1" applyProtection="1">
      <alignment horizontal="left"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99"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9"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2"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2" fontId="51" fillId="0" borderId="81" xfId="0" applyNumberFormat="1" applyFont="1" applyFill="1" applyBorder="1" applyAlignment="1" applyProtection="1">
      <alignment horizontal="center" vertical="center"/>
    </xf>
    <xf numFmtId="192"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225" fillId="56"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38" fillId="0" borderId="69" xfId="0" applyFont="1" applyFill="1" applyBorder="1" applyAlignment="1">
      <alignment horizontal="center" vertical="center"/>
    </xf>
    <xf numFmtId="0" fontId="226"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65" fontId="50" fillId="0" borderId="3" xfId="1" applyNumberFormat="1" applyFont="1" applyFill="1" applyBorder="1" applyAlignment="1" applyProtection="1">
      <alignment horizontal="center" vertical="center"/>
    </xf>
    <xf numFmtId="0" fontId="227" fillId="0" borderId="0" xfId="0" applyFont="1" applyFill="1" applyAlignment="1">
      <alignment horizontal="centerContinuous" vertical="center"/>
    </xf>
    <xf numFmtId="0" fontId="227" fillId="0" borderId="7" xfId="0" applyFont="1" applyFill="1" applyBorder="1" applyAlignment="1">
      <alignment horizontal="centerContinuous" vertical="center"/>
    </xf>
    <xf numFmtId="0" fontId="227"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30" fillId="0" borderId="0" xfId="0" applyFont="1" applyFill="1" applyAlignment="1">
      <alignment horizontal="centerContinuous" vertical="center"/>
    </xf>
    <xf numFmtId="0" fontId="230" fillId="0" borderId="69" xfId="0" applyFont="1" applyFill="1" applyBorder="1" applyAlignment="1">
      <alignment horizontal="centerContinuous" vertical="center"/>
    </xf>
    <xf numFmtId="174" fontId="231"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30"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3" xfId="0" applyNumberFormat="1" applyFont="1" applyFill="1" applyBorder="1" applyAlignment="1" applyProtection="1">
      <alignment vertical="center" wrapText="1"/>
    </xf>
    <xf numFmtId="182" fontId="24" fillId="14" borderId="103" xfId="0" applyNumberFormat="1" applyFont="1" applyFill="1" applyBorder="1" applyAlignment="1" applyProtection="1">
      <alignment vertical="center" wrapText="1"/>
    </xf>
    <xf numFmtId="182" fontId="24" fillId="11" borderId="103"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4" xfId="0" applyFont="1" applyFill="1" applyBorder="1" applyAlignment="1" applyProtection="1">
      <alignment vertical="center" wrapText="1"/>
    </xf>
    <xf numFmtId="0" fontId="24" fillId="0" borderId="105" xfId="0" applyFont="1" applyFill="1" applyBorder="1" applyAlignment="1" applyProtection="1">
      <alignment vertical="center"/>
    </xf>
    <xf numFmtId="0" fontId="24" fillId="14" borderId="105" xfId="0" applyFont="1" applyFill="1" applyBorder="1" applyAlignment="1" applyProtection="1">
      <alignment vertical="center"/>
    </xf>
    <xf numFmtId="182" fontId="24" fillId="14" borderId="104"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4"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6" xfId="0" applyFont="1" applyFill="1" applyBorder="1" applyAlignment="1" applyProtection="1">
      <alignment vertical="center"/>
    </xf>
    <xf numFmtId="0" fontId="24" fillId="0" borderId="107" xfId="0" applyFont="1" applyFill="1" applyBorder="1" applyAlignment="1" applyProtection="1">
      <alignment vertical="center" wrapText="1"/>
    </xf>
    <xf numFmtId="0" fontId="24" fillId="0" borderId="108"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29"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6"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6"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0" fontId="38" fillId="0" borderId="100" xfId="0" applyFont="1" applyFill="1" applyBorder="1" applyAlignment="1" applyProtection="1">
      <alignment horizontal="center" vertical="center"/>
    </xf>
    <xf numFmtId="0" fontId="38" fillId="0" borderId="110" xfId="0" applyFont="1" applyFill="1" applyBorder="1" applyAlignment="1">
      <alignment horizontal="center" vertical="center"/>
    </xf>
    <xf numFmtId="0" fontId="38" fillId="0" borderId="111" xfId="0" applyFont="1" applyFill="1" applyBorder="1" applyAlignment="1">
      <alignment horizontal="center" vertical="center"/>
    </xf>
    <xf numFmtId="168" fontId="38" fillId="0" borderId="106"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09"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6" xfId="0" applyNumberFormat="1" applyFont="1" applyFill="1" applyBorder="1" applyAlignment="1" applyProtection="1">
      <alignment vertical="center"/>
      <protection locked="0"/>
    </xf>
    <xf numFmtId="0" fontId="38" fillId="0" borderId="103"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24" fillId="0" borderId="112"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28"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1"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08"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1"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5" xfId="0" applyFont="1" applyFill="1" applyBorder="1" applyAlignment="1">
      <alignment horizontal="left" vertical="center"/>
    </xf>
    <xf numFmtId="0" fontId="38" fillId="0" borderId="115" xfId="0" applyFont="1" applyFill="1" applyBorder="1" applyAlignment="1">
      <alignment horizontal="center" vertical="center"/>
    </xf>
    <xf numFmtId="0" fontId="38" fillId="0" borderId="116" xfId="0" applyFont="1" applyFill="1" applyBorder="1" applyAlignment="1">
      <alignment horizontal="center" vertical="center"/>
    </xf>
    <xf numFmtId="0" fontId="38" fillId="0" borderId="116" xfId="0" applyNumberFormat="1" applyFont="1" applyFill="1" applyBorder="1" applyAlignment="1" applyProtection="1">
      <alignment horizontal="center" vertical="center" wrapText="1"/>
    </xf>
    <xf numFmtId="0" fontId="212" fillId="0" borderId="116" xfId="0" applyFont="1" applyFill="1" applyBorder="1" applyAlignment="1">
      <alignment horizontal="center" vertical="center"/>
    </xf>
    <xf numFmtId="171" fontId="38" fillId="0" borderId="116"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0" fontId="38" fillId="0" borderId="117" xfId="0" applyFont="1" applyFill="1" applyBorder="1" applyAlignment="1">
      <alignment horizontal="left" vertical="center"/>
    </xf>
    <xf numFmtId="0" fontId="38" fillId="0" borderId="117" xfId="0" applyFont="1" applyFill="1" applyBorder="1" applyAlignment="1">
      <alignment horizontal="center" vertical="center"/>
    </xf>
    <xf numFmtId="0" fontId="38" fillId="0" borderId="117" xfId="0" applyFont="1" applyFill="1" applyBorder="1" applyAlignment="1">
      <alignment horizontal="center" vertical="center" wrapText="1"/>
    </xf>
    <xf numFmtId="0" fontId="38" fillId="0" borderId="118" xfId="0" applyFont="1" applyFill="1" applyBorder="1" applyAlignment="1">
      <alignment horizontal="center" vertical="center"/>
    </xf>
    <xf numFmtId="0" fontId="38" fillId="0" borderId="118" xfId="0" applyNumberFormat="1" applyFont="1" applyFill="1" applyBorder="1" applyAlignment="1" applyProtection="1">
      <alignment horizontal="center" vertical="center" wrapText="1"/>
    </xf>
    <xf numFmtId="0" fontId="212" fillId="0" borderId="118" xfId="0" applyFont="1" applyFill="1" applyBorder="1" applyAlignment="1">
      <alignment horizontal="center" vertical="center"/>
    </xf>
    <xf numFmtId="171" fontId="38" fillId="0" borderId="118"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19" xfId="0" applyFont="1" applyFill="1" applyBorder="1" applyAlignment="1">
      <alignment horizontal="center" vertical="center" wrapText="1"/>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2"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19" xfId="0" applyFont="1" applyFill="1" applyBorder="1" applyAlignment="1" applyProtection="1">
      <alignment horizontal="center" vertical="center" wrapText="1"/>
    </xf>
    <xf numFmtId="0" fontId="38" fillId="0" borderId="115"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191"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16" xfId="0" applyNumberFormat="1" applyFont="1" applyFill="1" applyBorder="1" applyAlignment="1" applyProtection="1">
      <alignment horizontal="center" vertical="center" wrapText="1"/>
    </xf>
    <xf numFmtId="0" fontId="50" fillId="0" borderId="118" xfId="0" applyNumberFormat="1" applyFont="1" applyFill="1" applyBorder="1" applyAlignment="1" applyProtection="1">
      <alignment horizontal="center" vertical="center" wrapText="1"/>
    </xf>
    <xf numFmtId="0" fontId="50" fillId="0" borderId="120"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38" fillId="0" borderId="125" xfId="0" applyFont="1" applyFill="1" applyBorder="1" applyAlignment="1" applyProtection="1">
      <alignment vertical="center" wrapText="1"/>
    </xf>
    <xf numFmtId="0" fontId="50" fillId="0" borderId="126" xfId="0" applyFont="1" applyFill="1" applyBorder="1" applyAlignment="1" applyProtection="1">
      <alignment horizontal="center" vertical="center" wrapText="1"/>
    </xf>
    <xf numFmtId="0" fontId="50" fillId="0" borderId="127" xfId="0" applyNumberFormat="1" applyFont="1" applyFill="1" applyBorder="1" applyAlignment="1" applyProtection="1">
      <alignment horizontal="center" vertical="center" wrapText="1"/>
    </xf>
    <xf numFmtId="0" fontId="50" fillId="0" borderId="128" xfId="0" applyNumberFormat="1" applyFont="1" applyFill="1" applyBorder="1" applyAlignment="1" applyProtection="1">
      <alignment horizontal="center" vertical="center" wrapText="1"/>
    </xf>
    <xf numFmtId="0" fontId="50" fillId="0" borderId="129" xfId="0" applyNumberFormat="1" applyFont="1" applyFill="1" applyBorder="1" applyAlignment="1" applyProtection="1">
      <alignment horizontal="center" vertical="center" wrapText="1"/>
    </xf>
    <xf numFmtId="0" fontId="50" fillId="0" borderId="122" xfId="0" applyNumberFormat="1" applyFont="1" applyFill="1" applyBorder="1" applyAlignment="1">
      <alignment horizontal="center" vertical="center" wrapText="1"/>
    </xf>
    <xf numFmtId="0" fontId="50" fillId="0" borderId="122" xfId="0" applyNumberFormat="1" applyFont="1" applyFill="1" applyBorder="1" applyAlignment="1" applyProtection="1">
      <alignment horizontal="center" vertical="center" wrapText="1"/>
    </xf>
    <xf numFmtId="0" fontId="38" fillId="0" borderId="122" xfId="0"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protection locked="0"/>
    </xf>
    <xf numFmtId="0" fontId="38" fillId="0" borderId="122" xfId="8" applyNumberFormat="1" applyFont="1" applyFill="1" applyBorder="1" applyAlignment="1" applyProtection="1">
      <alignment horizontal="center" vertical="center" wrapText="1"/>
      <protection locked="0"/>
    </xf>
    <xf numFmtId="0" fontId="38" fillId="0" borderId="125" xfId="0" applyFont="1" applyFill="1" applyBorder="1" applyAlignment="1" applyProtection="1">
      <alignment horizontal="center" vertical="center"/>
    </xf>
    <xf numFmtId="0" fontId="38" fillId="0" borderId="126" xfId="0" applyFont="1" applyFill="1" applyBorder="1" applyAlignment="1" applyProtection="1">
      <alignment horizontal="center" vertical="center" wrapText="1"/>
    </xf>
    <xf numFmtId="0" fontId="38" fillId="0" borderId="127" xfId="0" applyNumberFormat="1" applyFont="1" applyFill="1" applyBorder="1" applyAlignment="1" applyProtection="1">
      <alignment horizontal="center" vertical="center" wrapText="1"/>
    </xf>
    <xf numFmtId="0" fontId="38" fillId="0" borderId="129" xfId="0" applyNumberFormat="1" applyFont="1" applyFill="1" applyBorder="1" applyAlignment="1" applyProtection="1">
      <alignment horizontal="center" vertical="center" wrapText="1"/>
    </xf>
    <xf numFmtId="0" fontId="38" fillId="0" borderId="122" xfId="0" applyNumberFormat="1" applyFont="1" applyFill="1" applyBorder="1" applyAlignment="1" applyProtection="1">
      <alignment horizontal="center" vertical="center" wrapText="1"/>
    </xf>
    <xf numFmtId="0" fontId="38" fillId="0" borderId="122"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74" fontId="60" fillId="13" borderId="9" xfId="0" applyNumberFormat="1" applyFont="1" applyFill="1" applyBorder="1" applyAlignment="1" applyProtection="1">
      <alignment vertical="center"/>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174" fontId="60" fillId="13" borderId="9" xfId="0" applyNumberFormat="1" applyFont="1" applyFill="1" applyBorder="1" applyAlignment="1" applyProtection="1">
      <alignment vertical="center" wrapText="1"/>
    </xf>
    <xf numFmtId="174" fontId="232" fillId="13" borderId="9" xfId="0" applyNumberFormat="1" applyFont="1" applyFill="1" applyBorder="1" applyAlignment="1" applyProtection="1">
      <alignment vertical="center" wrapText="1"/>
    </xf>
    <xf numFmtId="0" fontId="55" fillId="35" borderId="130"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3"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16" xfId="0" applyFont="1" applyFill="1" applyBorder="1" applyAlignment="1" applyProtection="1">
      <alignment horizontal="center" vertical="center"/>
    </xf>
    <xf numFmtId="171" fontId="50" fillId="0" borderId="116"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1" xfId="0" applyNumberFormat="1" applyFont="1" applyFill="1" applyBorder="1" applyAlignment="1">
      <alignment horizontal="center" vertical="center"/>
    </xf>
    <xf numFmtId="166" fontId="38" fillId="0" borderId="79" xfId="0" applyNumberFormat="1" applyFont="1" applyFill="1" applyBorder="1" applyAlignment="1">
      <alignment horizontal="center" vertical="center"/>
    </xf>
    <xf numFmtId="171" fontId="50" fillId="0" borderId="120"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2" xfId="0" applyNumberFormat="1" applyFont="1" applyFill="1" applyBorder="1" applyAlignment="1">
      <alignment horizontal="center" vertical="center"/>
    </xf>
    <xf numFmtId="166" fontId="38" fillId="0" borderId="85"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3" xfId="0" applyFont="1" applyFill="1" applyBorder="1" applyAlignment="1" applyProtection="1">
      <alignment horizontal="center"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7" borderId="5" xfId="0" applyNumberFormat="1" applyFont="1" applyFill="1" applyBorder="1" applyAlignment="1" applyProtection="1">
      <alignment vertical="center"/>
    </xf>
    <xf numFmtId="14" fontId="38" fillId="57" borderId="9" xfId="0" applyNumberFormat="1" applyFont="1" applyFill="1" applyBorder="1" applyAlignment="1" applyProtection="1">
      <alignment vertical="center"/>
    </xf>
    <xf numFmtId="0" fontId="38" fillId="57" borderId="9" xfId="0" applyFont="1" applyFill="1" applyBorder="1" applyAlignment="1" applyProtection="1">
      <alignment vertical="center" wrapText="1"/>
    </xf>
    <xf numFmtId="0" fontId="50" fillId="57" borderId="9" xfId="0" applyFont="1" applyFill="1" applyBorder="1" applyAlignment="1" applyProtection="1">
      <alignment vertical="center" wrapText="1"/>
    </xf>
    <xf numFmtId="181" fontId="141" fillId="57" borderId="9" xfId="0" applyNumberFormat="1" applyFont="1" applyFill="1" applyBorder="1" applyAlignment="1" applyProtection="1">
      <alignment horizontal="center" vertical="center"/>
      <protection locked="0"/>
    </xf>
    <xf numFmtId="174" fontId="50" fillId="57" borderId="9" xfId="0" applyNumberFormat="1" applyFont="1" applyFill="1" applyBorder="1" applyAlignment="1" applyProtection="1">
      <alignment vertical="center" wrapText="1"/>
    </xf>
    <xf numFmtId="174" fontId="38" fillId="57" borderId="9" xfId="0" applyNumberFormat="1" applyFont="1" applyFill="1" applyBorder="1" applyAlignment="1" applyProtection="1">
      <alignment vertical="center" wrapText="1"/>
    </xf>
    <xf numFmtId="179" fontId="40" fillId="57" borderId="7" xfId="0" applyNumberFormat="1" applyFont="1" applyFill="1" applyBorder="1" applyAlignment="1" applyProtection="1">
      <alignment horizontal="left" vertical="center"/>
      <protection locked="0"/>
    </xf>
    <xf numFmtId="174" fontId="95" fillId="57" borderId="9" xfId="0" applyNumberFormat="1" applyFont="1" applyFill="1" applyBorder="1" applyAlignment="1" applyProtection="1">
      <alignment vertical="center" wrapText="1"/>
    </xf>
    <xf numFmtId="0" fontId="38" fillId="57" borderId="9" xfId="0" applyFont="1" applyFill="1" applyBorder="1" applyAlignment="1">
      <alignment horizontal="center" vertical="center"/>
    </xf>
    <xf numFmtId="0" fontId="38" fillId="57" borderId="6" xfId="0" applyFont="1" applyFill="1" applyBorder="1" applyAlignment="1">
      <alignment horizontal="center" vertical="center"/>
    </xf>
    <xf numFmtId="14" fontId="38" fillId="57" borderId="5" xfId="0" applyNumberFormat="1" applyFont="1" applyFill="1" applyBorder="1" applyAlignment="1" applyProtection="1">
      <alignment horizontal="left" vertical="center"/>
    </xf>
    <xf numFmtId="181" fontId="141" fillId="57" borderId="69" xfId="0" applyNumberFormat="1" applyFont="1" applyFill="1" applyBorder="1" applyAlignment="1" applyProtection="1">
      <alignment horizontal="left" vertical="center"/>
      <protection locked="0"/>
    </xf>
    <xf numFmtId="174" fontId="231" fillId="57" borderId="9" xfId="0" applyNumberFormat="1" applyFont="1" applyFill="1" applyBorder="1" applyAlignment="1" applyProtection="1">
      <alignment vertical="center" wrapText="1"/>
    </xf>
    <xf numFmtId="174" fontId="51" fillId="57" borderId="9" xfId="0" applyNumberFormat="1" applyFont="1" applyFill="1" applyBorder="1" applyAlignment="1" applyProtection="1">
      <alignment vertical="center" wrapText="1"/>
    </xf>
    <xf numFmtId="174" fontId="60" fillId="57" borderId="9" xfId="0" applyNumberFormat="1" applyFont="1" applyFill="1" applyBorder="1" applyAlignment="1" applyProtection="1">
      <alignment vertical="center"/>
    </xf>
    <xf numFmtId="0" fontId="51" fillId="57"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3"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5"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3" xfId="1" applyNumberFormat="1" applyFont="1" applyFill="1" applyBorder="1" applyAlignment="1" applyProtection="1">
      <alignment horizontal="center" vertical="center"/>
    </xf>
    <xf numFmtId="167" fontId="38" fillId="0" borderId="134" xfId="0" applyNumberFormat="1" applyFont="1" applyFill="1" applyBorder="1" applyAlignment="1">
      <alignment vertical="center"/>
    </xf>
    <xf numFmtId="177" fontId="38" fillId="0" borderId="134" xfId="0" applyNumberFormat="1" applyFont="1" applyFill="1" applyBorder="1" applyAlignment="1" applyProtection="1">
      <alignment vertical="center"/>
    </xf>
    <xf numFmtId="166" fontId="38" fillId="0" borderId="135"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14" fillId="11" borderId="1" xfId="0" applyNumberFormat="1" applyFont="1" applyFill="1" applyBorder="1" applyAlignment="1" applyProtection="1">
      <alignment horizontal="center" vertical="center" wrapText="1"/>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03"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8" borderId="0" xfId="0" applyNumberFormat="1" applyFont="1" applyFill="1" applyBorder="1" applyAlignment="1" applyProtection="1">
      <alignment horizontal="left" vertical="center"/>
      <protection locked="0"/>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9" fillId="13" borderId="0" xfId="4" applyFont="1" applyFill="1" applyBorder="1">
      <alignment vertical="center"/>
    </xf>
    <xf numFmtId="0" fontId="209"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08"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199"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10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0" fontId="238" fillId="0" borderId="0" xfId="0"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38" fillId="11" borderId="0" xfId="0" applyFont="1" applyFill="1" applyAlignment="1" applyProtection="1">
      <alignment horizontal="center" vertical="center"/>
    </xf>
    <xf numFmtId="0" fontId="240" fillId="57" borderId="9" xfId="0" applyFont="1" applyFill="1" applyBorder="1" applyAlignment="1" applyProtection="1">
      <alignment vertical="center" wrapText="1"/>
    </xf>
    <xf numFmtId="0" fontId="239" fillId="13" borderId="9" xfId="0" applyFont="1" applyFill="1" applyBorder="1" applyAlignment="1" applyProtection="1">
      <alignment vertical="center" wrapText="1"/>
    </xf>
    <xf numFmtId="0" fontId="239" fillId="13" borderId="6" xfId="0" applyFont="1" applyFill="1" applyBorder="1" applyAlignment="1">
      <alignment vertical="center" wrapText="1"/>
    </xf>
    <xf numFmtId="0" fontId="239"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0" fontId="24" fillId="50" borderId="136" xfId="0" applyFont="1" applyFill="1" applyBorder="1" applyAlignment="1">
      <alignment horizontal="center" vertical="center"/>
    </xf>
    <xf numFmtId="170" fontId="32" fillId="50" borderId="137" xfId="0" applyNumberFormat="1" applyFont="1" applyFill="1" applyBorder="1" applyAlignment="1" applyProtection="1">
      <alignment horizontal="center" vertical="center"/>
      <protection locked="0"/>
    </xf>
    <xf numFmtId="170" fontId="32" fillId="50" borderId="138" xfId="0" applyNumberFormat="1" applyFont="1" applyFill="1" applyBorder="1" applyAlignment="1" applyProtection="1">
      <alignment horizontal="center" vertical="center"/>
      <protection locked="0"/>
    </xf>
    <xf numFmtId="0" fontId="14" fillId="11" borderId="137" xfId="0" applyNumberFormat="1" applyFont="1" applyFill="1" applyBorder="1" applyAlignment="1">
      <alignment horizontal="center" vertical="center" wrapText="1"/>
    </xf>
    <xf numFmtId="0" fontId="24" fillId="11" borderId="3" xfId="0" applyNumberFormat="1" applyFont="1" applyFill="1" applyBorder="1" applyAlignment="1">
      <alignment horizontal="center" vertical="center" wrapText="1"/>
    </xf>
    <xf numFmtId="0" fontId="24" fillId="11" borderId="86" xfId="0" applyNumberFormat="1" applyFont="1" applyFill="1" applyBorder="1" applyAlignment="1">
      <alignment horizontal="center" vertical="center" wrapText="1"/>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37"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169" fontId="50" fillId="0" borderId="3" xfId="0" applyNumberFormat="1" applyFont="1" applyFill="1" applyBorder="1" applyAlignment="1" applyProtection="1">
      <alignment horizontal="center" vertical="center"/>
    </xf>
    <xf numFmtId="176" fontId="50" fillId="0" borderId="89" xfId="0" applyNumberFormat="1" applyFont="1" applyFill="1" applyBorder="1" applyAlignment="1" applyProtection="1">
      <alignment horizontal="center" vertical="center"/>
    </xf>
    <xf numFmtId="176" fontId="51" fillId="0" borderId="141" xfId="0" applyNumberFormat="1" applyFont="1" applyFill="1" applyBorder="1" applyAlignment="1" applyProtection="1">
      <alignment horizontal="center" vertical="center"/>
    </xf>
    <xf numFmtId="167" fontId="193" fillId="0" borderId="142" xfId="0" applyNumberFormat="1" applyFont="1" applyFill="1" applyBorder="1" applyAlignment="1" applyProtection="1">
      <alignment horizontal="center" vertical="center"/>
    </xf>
    <xf numFmtId="192" fontId="51" fillId="0" borderId="142" xfId="0" applyNumberFormat="1" applyFont="1" applyFill="1" applyBorder="1" applyAlignment="1" applyProtection="1">
      <alignment horizontal="center" vertical="center"/>
    </xf>
    <xf numFmtId="166" fontId="51" fillId="0" borderId="143" xfId="0" applyNumberFormat="1" applyFont="1" applyFill="1" applyBorder="1" applyAlignment="1" applyProtection="1">
      <alignment horizontal="center" vertical="center"/>
    </xf>
    <xf numFmtId="166" fontId="53" fillId="0" borderId="87" xfId="0" applyNumberFormat="1" applyFont="1" applyFill="1" applyBorder="1" applyAlignment="1" applyProtection="1">
      <alignment horizontal="right" vertical="center"/>
    </xf>
    <xf numFmtId="177" fontId="53" fillId="0" borderId="144" xfId="1" applyNumberFormat="1" applyFont="1" applyFill="1" applyBorder="1" applyAlignment="1" applyProtection="1">
      <alignment horizontal="center" vertical="center"/>
    </xf>
    <xf numFmtId="168" fontId="53" fillId="0" borderId="69" xfId="0" applyNumberFormat="1" applyFont="1" applyFill="1" applyBorder="1" applyAlignment="1" applyProtection="1">
      <alignment horizontal="center" vertical="center"/>
    </xf>
    <xf numFmtId="176" fontId="50" fillId="0" borderId="148" xfId="1" applyNumberFormat="1" applyFont="1" applyFill="1" applyBorder="1" applyAlignment="1" applyProtection="1">
      <alignment horizontal="center" vertical="center"/>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38" fillId="0" borderId="125" xfId="0" applyNumberFormat="1" applyFont="1" applyFill="1" applyBorder="1" applyAlignment="1" applyProtection="1">
      <alignment horizontal="center" vertical="center" wrapText="1"/>
    </xf>
    <xf numFmtId="171" fontId="38" fillId="0" borderId="3" xfId="0" applyNumberFormat="1" applyFont="1" applyFill="1" applyBorder="1" applyAlignment="1">
      <alignment horizontal="center" vertical="center"/>
    </xf>
    <xf numFmtId="170" fontId="38" fillId="0" borderId="112" xfId="0" applyNumberFormat="1" applyFont="1" applyFill="1" applyBorder="1" applyAlignment="1" applyProtection="1">
      <alignment horizontal="center" vertical="center"/>
      <protection locked="0"/>
    </xf>
    <xf numFmtId="167" fontId="38" fillId="0" borderId="112" xfId="0" applyNumberFormat="1" applyFont="1" applyFill="1" applyBorder="1" applyAlignment="1" applyProtection="1">
      <alignment horizontal="center" vertical="center"/>
      <protection locked="0"/>
    </xf>
    <xf numFmtId="0" fontId="38" fillId="0" borderId="112" xfId="0" applyFont="1" applyFill="1" applyBorder="1" applyAlignment="1" applyProtection="1">
      <alignment horizontal="center" vertical="center"/>
    </xf>
    <xf numFmtId="168" fontId="38" fillId="0" borderId="99" xfId="0" applyNumberFormat="1" applyFont="1" applyFill="1" applyBorder="1" applyAlignment="1">
      <alignment horizontal="center" vertical="center"/>
    </xf>
    <xf numFmtId="170" fontId="38" fillId="0" borderId="99" xfId="0" applyNumberFormat="1" applyFont="1" applyFill="1" applyBorder="1" applyAlignment="1" applyProtection="1">
      <alignment vertical="center"/>
      <protection locked="0"/>
    </xf>
    <xf numFmtId="0" fontId="50" fillId="0" borderId="69" xfId="0" applyFont="1" applyFill="1" applyBorder="1" applyAlignment="1" applyProtection="1">
      <alignment horizontal="centerContinuous" vertical="center"/>
    </xf>
    <xf numFmtId="0" fontId="38" fillId="0" borderId="69" xfId="0" applyFont="1" applyFill="1" applyBorder="1" applyAlignment="1" applyProtection="1">
      <alignment horizontal="centerContinuous" vertical="center"/>
    </xf>
    <xf numFmtId="0" fontId="38" fillId="4" borderId="70" xfId="0" applyFont="1" applyFill="1" applyBorder="1" applyAlignment="1" applyProtection="1">
      <alignment horizontal="centerContinuous" vertical="center"/>
    </xf>
    <xf numFmtId="0" fontId="38" fillId="14" borderId="156" xfId="0" applyFont="1" applyFill="1" applyBorder="1" applyAlignment="1">
      <alignment horizontal="left" vertical="center" wrapText="1"/>
    </xf>
    <xf numFmtId="0" fontId="38" fillId="14" borderId="147" xfId="0" applyFont="1" applyFill="1" applyBorder="1" applyAlignment="1">
      <alignment horizontal="center" vertical="center"/>
    </xf>
    <xf numFmtId="0" fontId="50" fillId="0" borderId="147" xfId="0" applyNumberFormat="1" applyFont="1" applyFill="1" applyBorder="1" applyAlignment="1" applyProtection="1">
      <alignment horizontal="center" vertical="center" wrapText="1"/>
    </xf>
    <xf numFmtId="0" fontId="38" fillId="0" borderId="157" xfId="0" applyNumberFormat="1" applyFont="1" applyFill="1" applyBorder="1" applyAlignment="1" applyProtection="1">
      <alignment horizontal="center" vertical="center" wrapText="1"/>
    </xf>
    <xf numFmtId="0" fontId="50" fillId="0" borderId="147" xfId="0" applyFont="1" applyFill="1" applyBorder="1" applyAlignment="1">
      <alignment horizontal="center" vertical="center"/>
    </xf>
    <xf numFmtId="171" fontId="38" fillId="0" borderId="147" xfId="0" applyNumberFormat="1" applyFont="1" applyFill="1" applyBorder="1" applyAlignment="1">
      <alignment horizontal="center" vertical="center"/>
    </xf>
    <xf numFmtId="169" fontId="38" fillId="14" borderId="158" xfId="0" applyNumberFormat="1" applyFont="1" applyFill="1" applyBorder="1" applyAlignment="1">
      <alignment horizontal="center" vertical="center"/>
    </xf>
    <xf numFmtId="166" fontId="38" fillId="0" borderId="158" xfId="0" applyNumberFormat="1" applyFont="1" applyFill="1" applyBorder="1" applyAlignment="1">
      <alignment horizontal="center" vertical="center"/>
    </xf>
    <xf numFmtId="168" fontId="38" fillId="0" borderId="158" xfId="0" applyNumberFormat="1" applyFont="1" applyFill="1" applyBorder="1" applyAlignment="1" applyProtection="1">
      <alignment horizontal="center" vertical="center"/>
    </xf>
    <xf numFmtId="168" fontId="51" fillId="0" borderId="158" xfId="0" applyNumberFormat="1" applyFont="1" applyFill="1" applyBorder="1" applyAlignment="1" applyProtection="1">
      <alignment horizontal="center" vertical="center"/>
    </xf>
    <xf numFmtId="168" fontId="38" fillId="0" borderId="159" xfId="0" applyNumberFormat="1" applyFont="1" applyFill="1" applyBorder="1" applyAlignment="1">
      <alignment horizontal="center" vertical="center"/>
    </xf>
    <xf numFmtId="168" fontId="38" fillId="0" borderId="160" xfId="0" applyNumberFormat="1" applyFont="1" applyFill="1" applyBorder="1" applyAlignment="1">
      <alignment horizontal="center" vertical="center"/>
    </xf>
    <xf numFmtId="0" fontId="38" fillId="14" borderId="161" xfId="0" applyFont="1" applyFill="1" applyBorder="1" applyAlignment="1">
      <alignment horizontal="left" vertical="center" wrapText="1"/>
    </xf>
    <xf numFmtId="168" fontId="38" fillId="0" borderId="162" xfId="0" applyNumberFormat="1" applyFont="1" applyFill="1" applyBorder="1" applyAlignment="1">
      <alignment horizontal="center" vertical="center"/>
    </xf>
    <xf numFmtId="171" fontId="38" fillId="0" borderId="152" xfId="0" applyNumberFormat="1" applyFont="1" applyFill="1" applyBorder="1" applyAlignment="1">
      <alignment horizontal="center" vertical="center"/>
    </xf>
    <xf numFmtId="170" fontId="24" fillId="0" borderId="1" xfId="0" applyNumberFormat="1" applyFont="1" applyFill="1" applyBorder="1" applyAlignment="1" applyProtection="1">
      <alignment horizontal="center" vertical="center"/>
      <protection locked="0"/>
    </xf>
    <xf numFmtId="0" fontId="38" fillId="54" borderId="122" xfId="0" applyNumberFormat="1" applyFont="1" applyFill="1" applyBorder="1" applyAlignment="1" applyProtection="1">
      <alignment horizontal="center" vertical="center" wrapText="1"/>
    </xf>
    <xf numFmtId="0" fontId="50" fillId="0" borderId="122" xfId="8" applyNumberFormat="1" applyFont="1" applyFill="1" applyBorder="1" applyAlignment="1" applyProtection="1">
      <alignment horizontal="center" vertical="center" wrapText="1"/>
    </xf>
    <xf numFmtId="0" fontId="24" fillId="11" borderId="138" xfId="0" applyNumberFormat="1" applyFont="1" applyFill="1" applyBorder="1" applyAlignment="1">
      <alignment horizontal="center" vertical="center" wrapText="1"/>
    </xf>
    <xf numFmtId="0" fontId="14" fillId="11" borderId="138" xfId="0" applyNumberFormat="1" applyFont="1" applyFill="1" applyBorder="1" applyAlignment="1">
      <alignment horizontal="center" vertical="center" wrapText="1"/>
    </xf>
    <xf numFmtId="0" fontId="24" fillId="11" borderId="138" xfId="0" applyNumberFormat="1" applyFont="1" applyFill="1" applyBorder="1" applyAlignment="1" applyProtection="1">
      <alignment horizontal="center" vertical="center" wrapText="1"/>
    </xf>
    <xf numFmtId="0" fontId="38" fillId="54" borderId="1" xfId="0"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24" fillId="0" borderId="10" xfId="0" applyFont="1" applyFill="1" applyBorder="1" applyAlignment="1" applyProtection="1">
      <alignment horizontal="center" vertical="center" wrapText="1"/>
    </xf>
    <xf numFmtId="0" fontId="241" fillId="0" borderId="9" xfId="0" applyFont="1" applyFill="1" applyBorder="1" applyAlignment="1" applyProtection="1">
      <alignment vertical="center"/>
    </xf>
    <xf numFmtId="0" fontId="38"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1" xfId="0" applyFont="1" applyFill="1" applyBorder="1" applyAlignment="1">
      <alignment horizontal="center" vertical="center"/>
    </xf>
    <xf numFmtId="0" fontId="38" fillId="4" borderId="1" xfId="0" applyFont="1" applyFill="1" applyBorder="1" applyAlignment="1" applyProtection="1">
      <alignment horizontal="center" vertical="center"/>
    </xf>
    <xf numFmtId="0" fontId="38" fillId="13" borderId="1" xfId="0"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Font="1" applyFill="1" applyBorder="1" applyAlignment="1">
      <alignment horizontal="center" vertical="center"/>
    </xf>
    <xf numFmtId="16" fontId="50"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24" fillId="0" borderId="6"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8" applyFont="1" applyFill="1" applyBorder="1" applyAlignment="1" applyProtection="1">
      <alignment horizontal="center" vertical="center"/>
    </xf>
    <xf numFmtId="10" fontId="50" fillId="0" borderId="1" xfId="7" applyNumberFormat="1" applyFont="1" applyFill="1" applyBorder="1" applyAlignment="1" applyProtection="1">
      <alignment vertical="center"/>
    </xf>
    <xf numFmtId="172" fontId="38" fillId="0" borderId="1" xfId="8" applyNumberFormat="1" applyFont="1" applyFill="1" applyBorder="1" applyAlignment="1" applyProtection="1">
      <alignment horizontal="center" vertical="center" wrapText="1"/>
    </xf>
    <xf numFmtId="0" fontId="38" fillId="0" borderId="86" xfId="0" applyFont="1" applyFill="1" applyBorder="1" applyAlignment="1">
      <alignment vertical="center" wrapText="1"/>
    </xf>
    <xf numFmtId="0" fontId="52" fillId="0" borderId="5" xfId="8" applyFont="1" applyFill="1" applyBorder="1" applyAlignment="1" applyProtection="1">
      <alignment horizontal="center" vertical="center"/>
    </xf>
    <xf numFmtId="169" fontId="38" fillId="0" borderId="100" xfId="0" applyNumberFormat="1" applyFont="1" applyFill="1" applyBorder="1" applyAlignment="1" applyProtection="1">
      <alignment horizontal="center" vertical="center"/>
    </xf>
    <xf numFmtId="171" fontId="51" fillId="0" borderId="100" xfId="0" applyNumberFormat="1" applyFont="1" applyFill="1" applyBorder="1" applyAlignment="1" applyProtection="1">
      <alignment horizontal="center" vertical="center" shrinkToFit="1"/>
    </xf>
    <xf numFmtId="165" fontId="50" fillId="0" borderId="77" xfId="1" applyNumberFormat="1" applyFont="1" applyFill="1" applyBorder="1" applyAlignment="1" applyProtection="1">
      <alignment vertical="center"/>
    </xf>
    <xf numFmtId="0" fontId="10" fillId="0" borderId="1" xfId="0" applyFont="1" applyBorder="1" applyAlignment="1" applyProtection="1">
      <alignment horizontal="center" vertical="center"/>
    </xf>
    <xf numFmtId="0" fontId="105" fillId="0" borderId="87" xfId="8" applyFont="1" applyFill="1" applyBorder="1" applyAlignment="1" applyProtection="1">
      <alignment horizontal="center" vertical="center" wrapText="1"/>
    </xf>
    <xf numFmtId="165" fontId="51" fillId="0" borderId="100" xfId="0" applyNumberFormat="1" applyFont="1" applyFill="1" applyBorder="1" applyAlignment="1" applyProtection="1">
      <alignment vertical="center" shrinkToFit="1"/>
    </xf>
    <xf numFmtId="165" fontId="38" fillId="0" borderId="106" xfId="0" applyNumberFormat="1" applyFont="1" applyFill="1" applyBorder="1" applyAlignment="1">
      <alignment horizontal="center" vertical="center"/>
    </xf>
    <xf numFmtId="0" fontId="50" fillId="0" borderId="165"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22" xfId="0" applyNumberFormat="1" applyFont="1" applyFill="1" applyBorder="1" applyAlignment="1" applyProtection="1">
      <alignment horizontal="center" vertical="center" wrapText="1"/>
      <protection locked="0"/>
    </xf>
    <xf numFmtId="16" fontId="50" fillId="0" borderId="1" xfId="0" quotePrefix="1" applyNumberFormat="1" applyFont="1" applyFill="1" applyBorder="1" applyAlignment="1" applyProtection="1">
      <alignment horizontal="center" vertical="center" wrapText="1"/>
    </xf>
    <xf numFmtId="0" fontId="50" fillId="0" borderId="5" xfId="8"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0" fontId="51" fillId="4" borderId="69" xfId="0" applyFont="1" applyFill="1" applyBorder="1" applyAlignment="1" applyProtection="1">
      <alignment horizontal="centerContinuous" vertical="center"/>
    </xf>
    <xf numFmtId="0" fontId="53" fillId="0" borderId="1" xfId="0" applyFont="1" applyFill="1" applyBorder="1" applyAlignment="1" applyProtection="1">
      <alignment horizontal="center" vertical="center" wrapText="1"/>
    </xf>
    <xf numFmtId="0" fontId="52" fillId="0" borderId="12" xfId="0" applyFont="1" applyFill="1" applyBorder="1" applyAlignment="1" applyProtection="1">
      <alignment vertical="center" wrapText="1"/>
    </xf>
    <xf numFmtId="176" fontId="50" fillId="0" borderId="6" xfId="1" applyNumberFormat="1" applyFont="1" applyFill="1" applyBorder="1" applyAlignment="1" applyProtection="1">
      <alignment vertical="center"/>
    </xf>
    <xf numFmtId="0" fontId="24" fillId="0" borderId="6" xfId="0" applyFont="1" applyFill="1" applyBorder="1" applyAlignment="1" applyProtection="1">
      <alignment vertical="center" wrapText="1"/>
    </xf>
    <xf numFmtId="182" fontId="38" fillId="0" borderId="6" xfId="0" applyNumberFormat="1" applyFont="1" applyFill="1" applyBorder="1" applyAlignment="1" applyProtection="1">
      <alignment horizontal="center" vertical="center"/>
    </xf>
    <xf numFmtId="182" fontId="24" fillId="0" borderId="6" xfId="0" applyNumberFormat="1" applyFont="1" applyFill="1" applyBorder="1" applyAlignment="1" applyProtection="1">
      <alignment vertical="center" wrapText="1"/>
    </xf>
    <xf numFmtId="176"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vertical="center"/>
    </xf>
    <xf numFmtId="10" fontId="50" fillId="0" borderId="108" xfId="7" applyNumberFormat="1" applyFont="1" applyFill="1" applyBorder="1" applyAlignment="1" applyProtection="1">
      <alignment vertical="center"/>
    </xf>
    <xf numFmtId="176" fontId="50" fillId="0" borderId="139" xfId="1" applyNumberFormat="1" applyFont="1" applyFill="1" applyBorder="1" applyAlignment="1" applyProtection="1">
      <alignment vertical="center"/>
    </xf>
    <xf numFmtId="165" fontId="50" fillId="0" borderId="139" xfId="1" applyNumberFormat="1" applyFont="1" applyFill="1" applyBorder="1" applyAlignment="1" applyProtection="1">
      <alignment vertical="center"/>
    </xf>
    <xf numFmtId="0" fontId="14" fillId="0" borderId="122" xfId="0" applyNumberFormat="1" applyFont="1" applyFill="1" applyBorder="1" applyAlignment="1" applyProtection="1">
      <alignment horizontal="center" vertical="center" wrapText="1"/>
    </xf>
    <xf numFmtId="0" fontId="24" fillId="0" borderId="122" xfId="0" applyNumberFormat="1" applyFont="1" applyFill="1" applyBorder="1" applyAlignment="1">
      <alignment horizontal="center" vertical="center" wrapText="1"/>
    </xf>
    <xf numFmtId="0" fontId="53" fillId="0" borderId="122" xfId="0" applyFont="1" applyFill="1" applyBorder="1" applyAlignment="1" applyProtection="1">
      <alignment horizontal="center" vertical="center" wrapText="1"/>
    </xf>
    <xf numFmtId="176" fontId="50" fillId="0" borderId="6" xfId="1" applyNumberFormat="1" applyFont="1" applyFill="1" applyBorder="1" applyAlignment="1" applyProtection="1">
      <alignment horizontal="center" vertical="center"/>
    </xf>
    <xf numFmtId="0" fontId="14" fillId="0" borderId="122" xfId="0" applyNumberFormat="1" applyFont="1" applyFill="1" applyBorder="1" applyAlignment="1">
      <alignment horizontal="center" vertical="center" wrapText="1"/>
    </xf>
    <xf numFmtId="176" fontId="38" fillId="0" borderId="6" xfId="0" applyNumberFormat="1" applyFont="1" applyFill="1" applyBorder="1" applyAlignment="1" applyProtection="1">
      <alignment horizontal="center" vertical="center"/>
    </xf>
    <xf numFmtId="176" fontId="50" fillId="0" borderId="139" xfId="1" applyNumberFormat="1" applyFont="1" applyFill="1" applyBorder="1" applyAlignment="1" applyProtection="1">
      <alignment horizontal="center" vertical="center"/>
    </xf>
    <xf numFmtId="165" fontId="50" fillId="0" borderId="6" xfId="1" applyNumberFormat="1" applyFont="1" applyFill="1" applyBorder="1" applyAlignment="1" applyProtection="1">
      <alignment horizontal="center" vertical="center"/>
    </xf>
    <xf numFmtId="10" fontId="50" fillId="0" borderId="6" xfId="7" applyNumberFormat="1" applyFont="1" applyFill="1" applyBorder="1" applyAlignment="1" applyProtection="1">
      <alignment vertical="center"/>
    </xf>
    <xf numFmtId="169" fontId="38" fillId="0" borderId="6" xfId="0" applyNumberFormat="1" applyFont="1" applyFill="1" applyBorder="1" applyAlignment="1" applyProtection="1">
      <alignment horizontal="center" vertical="center"/>
    </xf>
    <xf numFmtId="169" fontId="50" fillId="0" borderId="6" xfId="0" applyNumberFormat="1" applyFont="1" applyFill="1" applyBorder="1" applyAlignment="1" applyProtection="1">
      <alignment horizontal="center" vertical="center"/>
    </xf>
    <xf numFmtId="169" fontId="50" fillId="0" borderId="12" xfId="0" applyNumberFormat="1" applyFont="1" applyFill="1" applyBorder="1" applyAlignment="1" applyProtection="1">
      <alignment horizontal="center" vertical="center"/>
    </xf>
    <xf numFmtId="169" fontId="38" fillId="0" borderId="108" xfId="0" applyNumberFormat="1" applyFont="1" applyFill="1" applyBorder="1" applyAlignment="1" applyProtection="1">
      <alignment horizontal="center" vertical="center"/>
    </xf>
    <xf numFmtId="10" fontId="50" fillId="0" borderId="6" xfId="7" applyNumberFormat="1" applyFont="1" applyFill="1" applyBorder="1" applyAlignment="1" applyProtection="1">
      <alignment horizontal="center" vertical="center"/>
    </xf>
    <xf numFmtId="0" fontId="14" fillId="0" borderId="125" xfId="0" applyNumberFormat="1" applyFont="1" applyFill="1" applyBorder="1" applyAlignment="1" applyProtection="1">
      <alignment horizontal="center" vertical="center" wrapText="1"/>
    </xf>
    <xf numFmtId="0" fontId="14" fillId="14" borderId="122" xfId="0" applyNumberFormat="1" applyFont="1" applyFill="1" applyBorder="1" applyAlignment="1" applyProtection="1">
      <alignment horizontal="center" vertical="center" wrapText="1"/>
    </xf>
    <xf numFmtId="0" fontId="14" fillId="0" borderId="126" xfId="0" applyNumberFormat="1" applyFont="1" applyFill="1" applyBorder="1" applyAlignment="1" applyProtection="1">
      <alignment horizontal="center" vertical="center" wrapText="1"/>
    </xf>
    <xf numFmtId="0" fontId="14" fillId="14" borderId="122" xfId="0" applyNumberFormat="1" applyFont="1" applyFill="1" applyBorder="1" applyAlignment="1">
      <alignment horizontal="center" vertical="center" wrapText="1"/>
    </xf>
    <xf numFmtId="0" fontId="24" fillId="0" borderId="12" xfId="0" applyFont="1" applyFill="1" applyBorder="1" applyAlignment="1" applyProtection="1">
      <alignment vertical="center" wrapText="1"/>
    </xf>
    <xf numFmtId="0" fontId="24" fillId="0" borderId="122" xfId="0"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protection locked="0"/>
    </xf>
    <xf numFmtId="0" fontId="14" fillId="0" borderId="122" xfId="8" applyNumberFormat="1" applyFont="1" applyFill="1" applyBorder="1" applyAlignment="1" applyProtection="1">
      <alignment horizontal="center" vertical="center" wrapText="1"/>
      <protection locked="0"/>
    </xf>
    <xf numFmtId="170" fontId="38" fillId="0" borderId="6" xfId="0" applyNumberFormat="1" applyFont="1" applyFill="1" applyBorder="1" applyAlignment="1" applyProtection="1">
      <alignment horizontal="center" vertical="center"/>
    </xf>
    <xf numFmtId="0" fontId="62" fillId="0" borderId="69" xfId="0" applyFont="1" applyFill="1" applyBorder="1" applyAlignment="1" applyProtection="1">
      <alignment vertical="center"/>
    </xf>
    <xf numFmtId="0" fontId="14" fillId="0" borderId="166" xfId="8" applyNumberFormat="1" applyFont="1" applyFill="1" applyBorder="1" applyAlignment="1" applyProtection="1">
      <alignment horizontal="center" vertical="center" wrapText="1"/>
    </xf>
    <xf numFmtId="165" fontId="50" fillId="0" borderId="77" xfId="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165" fontId="50" fillId="0" borderId="139" xfId="1" applyNumberFormat="1" applyFont="1" applyFill="1" applyBorder="1" applyAlignment="1" applyProtection="1">
      <alignment horizontal="center" vertical="center"/>
    </xf>
    <xf numFmtId="166" fontId="38" fillId="0" borderId="5" xfId="0" applyNumberFormat="1" applyFont="1" applyFill="1" applyBorder="1" applyAlignment="1" applyProtection="1">
      <alignment horizontal="center" vertical="center"/>
    </xf>
    <xf numFmtId="0" fontId="2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177" fontId="51" fillId="0" borderId="134" xfId="0" applyNumberFormat="1" applyFont="1" applyFill="1" applyBorder="1" applyAlignment="1" applyProtection="1">
      <alignment vertical="center" shrinkToFit="1"/>
    </xf>
    <xf numFmtId="0" fontId="38" fillId="0" borderId="104" xfId="0" applyFont="1" applyFill="1" applyBorder="1" applyAlignment="1" applyProtection="1">
      <alignment horizontal="centerContinuous" vertical="center" wrapText="1"/>
    </xf>
    <xf numFmtId="176" fontId="51" fillId="0" borderId="80" xfId="1" applyNumberFormat="1" applyFont="1" applyFill="1" applyBorder="1" applyAlignment="1" applyProtection="1">
      <alignment horizontal="center" vertical="center"/>
    </xf>
    <xf numFmtId="0" fontId="38" fillId="0" borderId="0" xfId="0" applyFont="1" applyFill="1" applyBorder="1" applyAlignment="1" applyProtection="1">
      <alignment horizontal="center" vertical="center" wrapText="1"/>
      <protection locked="0"/>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5" xfId="0" applyFont="1" applyBorder="1" applyAlignment="1" applyProtection="1">
      <alignment horizontal="center" vertical="center"/>
    </xf>
    <xf numFmtId="0" fontId="14" fillId="0" borderId="5" xfId="0" applyNumberFormat="1" applyFont="1" applyFill="1" applyBorder="1" applyAlignment="1" applyProtection="1">
      <alignment horizontal="center" vertical="center" wrapText="1"/>
    </xf>
    <xf numFmtId="0" fontId="14" fillId="0" borderId="9" xfId="0" applyNumberFormat="1" applyFont="1" applyFill="1" applyBorder="1" applyAlignment="1" applyProtection="1">
      <alignment horizontal="center" vertical="center" wrapText="1"/>
    </xf>
    <xf numFmtId="0" fontId="199" fillId="0" borderId="9" xfId="0" applyFont="1" applyFill="1" applyBorder="1" applyAlignment="1" applyProtection="1">
      <alignment horizontal="center" vertical="center"/>
    </xf>
    <xf numFmtId="0" fontId="38" fillId="0" borderId="86"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5" xfId="0" applyFont="1" applyFill="1" applyBorder="1" applyAlignment="1">
      <alignment horizontal="center" vertical="center"/>
    </xf>
    <xf numFmtId="0" fontId="0" fillId="0" borderId="1" xfId="0" applyBorder="1">
      <alignment vertical="center"/>
    </xf>
    <xf numFmtId="181" fontId="116" fillId="0" borderId="0" xfId="0" applyNumberFormat="1" applyFont="1" applyFill="1" applyBorder="1" applyAlignment="1" applyProtection="1">
      <alignment horizontal="left" vertical="center"/>
      <protection locked="0"/>
    </xf>
    <xf numFmtId="0" fontId="24" fillId="0" borderId="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38" fillId="0" borderId="86" xfId="0" applyFont="1" applyFill="1" applyBorder="1" applyAlignment="1">
      <alignment horizontal="left" vertical="center"/>
    </xf>
    <xf numFmtId="1" fontId="52" fillId="0" borderId="0" xfId="6" applyNumberFormat="1" applyFont="1"/>
    <xf numFmtId="0" fontId="38" fillId="0" borderId="3" xfId="0" applyFont="1" applyFill="1" applyBorder="1" applyAlignment="1" applyProtection="1">
      <alignment horizontal="center" vertical="center" wrapText="1"/>
    </xf>
    <xf numFmtId="0" fontId="38" fillId="35" borderId="5" xfId="0" applyFont="1" applyFill="1" applyBorder="1" applyAlignment="1">
      <alignment vertical="center"/>
    </xf>
    <xf numFmtId="0" fontId="38" fillId="35" borderId="6" xfId="0" applyFont="1" applyFill="1" applyBorder="1" applyAlignment="1">
      <alignment vertical="center"/>
    </xf>
    <xf numFmtId="0" fontId="38" fillId="35" borderId="9" xfId="0" applyFont="1" applyFill="1" applyBorder="1" applyAlignment="1">
      <alignment vertical="center"/>
    </xf>
    <xf numFmtId="0" fontId="51" fillId="14" borderId="1" xfId="0" applyFont="1" applyFill="1" applyBorder="1" applyAlignment="1">
      <alignment horizontal="left" vertical="center" wrapText="1"/>
    </xf>
    <xf numFmtId="41" fontId="193" fillId="0" borderId="2"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xf>
    <xf numFmtId="176" fontId="50" fillId="0" borderId="168" xfId="1" applyNumberFormat="1" applyFont="1" applyFill="1" applyBorder="1" applyAlignment="1" applyProtection="1">
      <alignment horizontal="center" vertical="center"/>
    </xf>
    <xf numFmtId="166" fontId="53" fillId="0" borderId="13" xfId="0" applyNumberFormat="1" applyFont="1" applyFill="1" applyBorder="1" applyAlignment="1" applyProtection="1">
      <alignment horizontal="right" vertical="center"/>
    </xf>
    <xf numFmtId="177" fontId="53" fillId="0" borderId="89" xfId="1" applyNumberFormat="1" applyFont="1" applyFill="1" applyBorder="1" applyAlignment="1" applyProtection="1">
      <alignment horizontal="center" vertical="center"/>
    </xf>
    <xf numFmtId="168" fontId="53" fillId="0" borderId="8" xfId="0" applyNumberFormat="1" applyFont="1" applyFill="1" applyBorder="1" applyAlignment="1" applyProtection="1">
      <alignment horizontal="center" vertical="center"/>
    </xf>
    <xf numFmtId="167" fontId="68" fillId="0" borderId="142" xfId="8"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wrapText="1"/>
    </xf>
    <xf numFmtId="166" fontId="68" fillId="0" borderId="143" xfId="8" applyNumberFormat="1" applyFont="1" applyFill="1" applyBorder="1" applyAlignment="1" applyProtection="1">
      <alignment horizontal="center" vertical="center"/>
    </xf>
    <xf numFmtId="167" fontId="68" fillId="0" borderId="134" xfId="8" applyNumberFormat="1" applyFont="1" applyFill="1" applyBorder="1" applyAlignment="1" applyProtection="1">
      <alignment horizontal="center" vertical="center"/>
    </xf>
    <xf numFmtId="166" fontId="68" fillId="0" borderId="135" xfId="8" applyNumberFormat="1" applyFont="1" applyFill="1" applyBorder="1" applyAlignment="1" applyProtection="1">
      <alignment horizontal="center" vertical="center"/>
    </xf>
    <xf numFmtId="0" fontId="53" fillId="0" borderId="172" xfId="0" applyFont="1" applyFill="1" applyBorder="1" applyAlignment="1" applyProtection="1">
      <alignment horizontal="center" vertical="center"/>
    </xf>
    <xf numFmtId="0" fontId="68" fillId="0" borderId="172" xfId="0" applyNumberFormat="1" applyFont="1" applyFill="1" applyBorder="1" applyAlignment="1" applyProtection="1">
      <alignment horizontal="center" vertical="center" wrapText="1"/>
    </xf>
    <xf numFmtId="0" fontId="68" fillId="0" borderId="173" xfId="0" applyNumberFormat="1" applyFont="1" applyFill="1" applyBorder="1" applyAlignment="1" applyProtection="1">
      <alignment horizontal="center" vertical="center" wrapText="1"/>
    </xf>
    <xf numFmtId="176" fontId="50" fillId="0" borderId="174" xfId="1" applyNumberFormat="1" applyFont="1" applyFill="1" applyBorder="1" applyAlignment="1" applyProtection="1">
      <alignment horizontal="center" vertical="center"/>
    </xf>
    <xf numFmtId="166" fontId="53" fillId="0" borderId="175" xfId="0" applyNumberFormat="1" applyFont="1" applyFill="1" applyBorder="1" applyAlignment="1" applyProtection="1">
      <alignment horizontal="right" vertical="center"/>
    </xf>
    <xf numFmtId="177" fontId="53" fillId="0" borderId="176" xfId="1" applyNumberFormat="1" applyFont="1" applyFill="1" applyBorder="1" applyAlignment="1" applyProtection="1">
      <alignment horizontal="center" vertical="center"/>
    </xf>
    <xf numFmtId="168" fontId="53" fillId="0" borderId="177" xfId="0" applyNumberFormat="1" applyFont="1" applyFill="1" applyBorder="1" applyAlignment="1" applyProtection="1">
      <alignment horizontal="center" vertical="center"/>
    </xf>
    <xf numFmtId="176" fontId="51" fillId="0" borderId="178" xfId="0" applyNumberFormat="1" applyFont="1" applyFill="1" applyBorder="1" applyAlignment="1" applyProtection="1">
      <alignment horizontal="center" vertical="center"/>
    </xf>
    <xf numFmtId="167" fontId="193" fillId="0" borderId="179" xfId="0" applyNumberFormat="1" applyFont="1" applyFill="1" applyBorder="1" applyAlignment="1" applyProtection="1">
      <alignment horizontal="center" vertical="center"/>
    </xf>
    <xf numFmtId="190" fontId="51" fillId="0" borderId="179" xfId="0" applyNumberFormat="1" applyFont="1" applyFill="1" applyBorder="1" applyAlignment="1">
      <alignment horizontal="center" vertical="center"/>
    </xf>
    <xf numFmtId="166" fontId="51" fillId="0" borderId="180" xfId="0" applyNumberFormat="1" applyFont="1" applyFill="1" applyBorder="1" applyAlignment="1" applyProtection="1">
      <alignment horizontal="center" vertical="center"/>
    </xf>
    <xf numFmtId="176" fontId="50" fillId="0" borderId="181" xfId="1" applyNumberFormat="1" applyFont="1" applyFill="1" applyBorder="1" applyAlignment="1" applyProtection="1">
      <alignment horizontal="center" vertical="center"/>
    </xf>
    <xf numFmtId="0" fontId="24" fillId="0" borderId="182" xfId="8" applyFont="1" applyFill="1" applyBorder="1" applyAlignment="1" applyProtection="1">
      <alignment horizontal="center" vertical="center" wrapText="1"/>
    </xf>
    <xf numFmtId="0" fontId="53" fillId="0" borderId="186" xfId="0" applyFont="1" applyFill="1" applyBorder="1" applyAlignment="1" applyProtection="1">
      <alignment horizontal="center" vertical="center"/>
    </xf>
    <xf numFmtId="0" fontId="68" fillId="0" borderId="186" xfId="0" applyNumberFormat="1" applyFont="1" applyFill="1" applyBorder="1" applyAlignment="1" applyProtection="1">
      <alignment horizontal="center" vertical="center" wrapText="1"/>
    </xf>
    <xf numFmtId="0" fontId="68" fillId="0" borderId="187" xfId="0" applyNumberFormat="1" applyFont="1" applyFill="1" applyBorder="1" applyAlignment="1" applyProtection="1">
      <alignment horizontal="center" vertical="center" wrapText="1"/>
    </xf>
    <xf numFmtId="165" fontId="50" fillId="0" borderId="188" xfId="1" applyNumberFormat="1" applyFont="1" applyFill="1" applyBorder="1" applyAlignment="1" applyProtection="1">
      <alignment horizontal="center" vertical="center"/>
    </xf>
    <xf numFmtId="170" fontId="53" fillId="0" borderId="189" xfId="0" applyNumberFormat="1" applyFont="1" applyFill="1" applyBorder="1" applyAlignment="1" applyProtection="1">
      <alignment horizontal="right" vertical="center"/>
    </xf>
    <xf numFmtId="170" fontId="53" fillId="0" borderId="190" xfId="1" applyNumberFormat="1" applyFont="1" applyFill="1" applyBorder="1" applyAlignment="1" applyProtection="1">
      <alignment horizontal="center" vertical="center"/>
    </xf>
    <xf numFmtId="170" fontId="53" fillId="0" borderId="191" xfId="0" applyNumberFormat="1" applyFont="1" applyFill="1" applyBorder="1" applyAlignment="1" applyProtection="1">
      <alignment horizontal="center" vertical="center"/>
    </xf>
    <xf numFmtId="176" fontId="51" fillId="0" borderId="192" xfId="0" applyNumberFormat="1" applyFont="1" applyFill="1" applyBorder="1" applyAlignment="1" applyProtection="1">
      <alignment horizontal="center" vertical="center"/>
    </xf>
    <xf numFmtId="170" fontId="68" fillId="0" borderId="193" xfId="8" applyNumberFormat="1" applyFont="1" applyFill="1" applyBorder="1" applyAlignment="1" applyProtection="1">
      <alignment vertical="center"/>
    </xf>
    <xf numFmtId="190" fontId="51" fillId="0" borderId="193" xfId="0" applyNumberFormat="1" applyFont="1" applyFill="1" applyBorder="1" applyAlignment="1" applyProtection="1">
      <alignment horizontal="center" vertical="center"/>
    </xf>
    <xf numFmtId="170" fontId="68" fillId="0" borderId="194" xfId="8" applyNumberFormat="1" applyFont="1" applyFill="1" applyBorder="1" applyAlignment="1" applyProtection="1">
      <alignment vertical="center"/>
    </xf>
    <xf numFmtId="165" fontId="50" fillId="0" borderId="195" xfId="1" applyNumberFormat="1" applyFont="1" applyFill="1" applyBorder="1" applyAlignment="1" applyProtection="1">
      <alignment horizontal="center" vertical="center"/>
    </xf>
    <xf numFmtId="166" fontId="53" fillId="0" borderId="189" xfId="0" applyNumberFormat="1" applyFont="1" applyFill="1" applyBorder="1" applyAlignment="1" applyProtection="1">
      <alignment horizontal="right" vertical="center"/>
    </xf>
    <xf numFmtId="177" fontId="53" fillId="0" borderId="190" xfId="1" applyNumberFormat="1" applyFont="1" applyFill="1" applyBorder="1" applyAlignment="1" applyProtection="1">
      <alignment horizontal="center" vertical="center"/>
    </xf>
    <xf numFmtId="168" fontId="53" fillId="0" borderId="191" xfId="0" applyNumberFormat="1" applyFont="1" applyFill="1" applyBorder="1" applyAlignment="1" applyProtection="1">
      <alignment horizontal="center" vertical="center"/>
    </xf>
    <xf numFmtId="0" fontId="24" fillId="0" borderId="196" xfId="8" applyFont="1" applyFill="1" applyBorder="1" applyAlignment="1" applyProtection="1">
      <alignment horizontal="center" vertical="center"/>
    </xf>
    <xf numFmtId="0" fontId="199" fillId="0" borderId="200" xfId="0" applyFont="1" applyFill="1" applyBorder="1" applyAlignment="1" applyProtection="1">
      <alignment horizontal="center" vertical="center"/>
    </xf>
    <xf numFmtId="0" fontId="105" fillId="0" borderId="199" xfId="0" applyNumberFormat="1" applyFont="1" applyFill="1" applyBorder="1" applyAlignment="1">
      <alignment horizontal="center" vertical="center" wrapText="1"/>
    </xf>
    <xf numFmtId="0" fontId="105" fillId="0" borderId="201" xfId="0" applyNumberFormat="1" applyFont="1" applyFill="1" applyBorder="1" applyAlignment="1">
      <alignment horizontal="center" vertical="center" wrapText="1"/>
    </xf>
    <xf numFmtId="187" fontId="105" fillId="0" borderId="205" xfId="8" applyNumberFormat="1" applyFont="1" applyFill="1" applyBorder="1" applyAlignment="1" applyProtection="1">
      <alignment horizontal="center" vertical="center" wrapText="1"/>
    </xf>
    <xf numFmtId="187" fontId="105" fillId="0" borderId="198" xfId="8" applyNumberFormat="1" applyFont="1" applyFill="1" applyBorder="1" applyAlignment="1" applyProtection="1">
      <alignment horizontal="center" vertical="center" wrapText="1"/>
    </xf>
    <xf numFmtId="187" fontId="105" fillId="0" borderId="199" xfId="8" applyNumberFormat="1" applyFont="1" applyFill="1" applyBorder="1" applyAlignment="1" applyProtection="1">
      <alignment horizontal="center" vertical="center" wrapText="1"/>
    </xf>
    <xf numFmtId="0" fontId="14" fillId="14" borderId="172" xfId="0" applyFont="1" applyFill="1" applyBorder="1" applyAlignment="1">
      <alignment horizontal="center" vertical="center"/>
    </xf>
    <xf numFmtId="0" fontId="14" fillId="14" borderId="172" xfId="0" applyNumberFormat="1" applyFont="1" applyFill="1" applyBorder="1" applyAlignment="1" applyProtection="1">
      <alignment horizontal="center" vertical="center" wrapText="1"/>
    </xf>
    <xf numFmtId="0" fontId="14" fillId="14" borderId="173" xfId="0" applyNumberFormat="1" applyFont="1" applyFill="1" applyBorder="1" applyAlignment="1" applyProtection="1">
      <alignment horizontal="center" vertical="center" wrapText="1"/>
    </xf>
    <xf numFmtId="167" fontId="68" fillId="0" borderId="179" xfId="8" applyNumberFormat="1" applyFont="1" applyFill="1" applyBorder="1" applyAlignment="1" applyProtection="1">
      <alignment horizontal="center" vertical="center"/>
    </xf>
    <xf numFmtId="190" fontId="51" fillId="0" borderId="179" xfId="0" applyNumberFormat="1" applyFont="1" applyFill="1" applyBorder="1" applyAlignment="1">
      <alignment horizontal="center" vertical="center" wrapText="1"/>
    </xf>
    <xf numFmtId="166" fontId="68" fillId="0" borderId="180" xfId="8" applyNumberFormat="1" applyFont="1" applyFill="1" applyBorder="1" applyAlignment="1" applyProtection="1">
      <alignment horizontal="center" vertical="center"/>
    </xf>
    <xf numFmtId="0" fontId="24" fillId="0" borderId="209" xfId="8" applyFont="1" applyFill="1" applyBorder="1" applyAlignment="1" applyProtection="1">
      <alignment horizontal="center" vertical="center" wrapText="1"/>
    </xf>
    <xf numFmtId="0" fontId="10" fillId="14" borderId="186" xfId="0" applyFont="1" applyFill="1" applyBorder="1" applyAlignment="1" applyProtection="1">
      <alignment horizontal="center" vertical="center"/>
    </xf>
    <xf numFmtId="0" fontId="14" fillId="14" borderId="186" xfId="0" applyNumberFormat="1" applyFont="1" applyFill="1" applyBorder="1" applyAlignment="1" applyProtection="1">
      <alignment horizontal="center" vertical="center" wrapText="1"/>
    </xf>
    <xf numFmtId="0" fontId="14" fillId="14" borderId="187" xfId="0" applyNumberFormat="1" applyFont="1" applyFill="1" applyBorder="1" applyAlignment="1" applyProtection="1">
      <alignment horizontal="center" vertical="center" wrapText="1"/>
    </xf>
    <xf numFmtId="0" fontId="24" fillId="0" borderId="196" xfId="8"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0" applyFont="1" applyFill="1" applyBorder="1" applyAlignment="1" applyProtection="1">
      <alignment horizontal="center" vertical="center" wrapText="1"/>
    </xf>
    <xf numFmtId="14" fontId="40" fillId="0" borderId="69" xfId="8" applyNumberFormat="1" applyFont="1" applyFill="1" applyBorder="1" applyAlignment="1" applyProtection="1">
      <alignment horizontal="left" vertical="center"/>
    </xf>
    <xf numFmtId="0" fontId="38" fillId="0" borderId="9"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111"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75" fillId="0" borderId="1" xfId="0" applyFont="1" applyFill="1" applyBorder="1" applyAlignment="1" applyProtection="1">
      <alignment horizontal="center" vertical="center"/>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0" fontId="52" fillId="0" borderId="1" xfId="4" applyFont="1" applyBorder="1" applyAlignment="1">
      <alignment horizontal="center" vertical="center"/>
    </xf>
    <xf numFmtId="0" fontId="0" fillId="0" borderId="0" xfId="0" applyFont="1" applyBorder="1" applyAlignment="1">
      <alignment vertical="center"/>
    </xf>
    <xf numFmtId="0" fontId="38" fillId="5" borderId="0" xfId="0" applyFont="1" applyFill="1" applyBorder="1" applyAlignment="1" applyProtection="1">
      <alignment horizontal="center" vertical="center" wrapText="1"/>
      <protection locked="0"/>
    </xf>
    <xf numFmtId="0" fontId="50" fillId="0" borderId="103" xfId="0" applyFont="1" applyFill="1" applyBorder="1" applyAlignment="1" applyProtection="1">
      <alignment horizontal="center" vertical="center"/>
    </xf>
    <xf numFmtId="0" fontId="50" fillId="0" borderId="100" xfId="0" applyFont="1" applyFill="1" applyBorder="1" applyAlignment="1" applyProtection="1">
      <alignment vertical="center"/>
    </xf>
    <xf numFmtId="176" fontId="50" fillId="0" borderId="101" xfId="0" applyNumberFormat="1" applyFont="1" applyFill="1" applyBorder="1" applyAlignment="1">
      <alignment horizontal="center" vertical="center"/>
    </xf>
    <xf numFmtId="176" fontId="50" fillId="0" borderId="100" xfId="0" applyNumberFormat="1" applyFont="1" applyFill="1" applyBorder="1" applyAlignment="1">
      <alignment horizontal="center" vertical="center"/>
    </xf>
    <xf numFmtId="176" fontId="50" fillId="0" borderId="46" xfId="0" applyNumberFormat="1" applyFont="1" applyFill="1" applyBorder="1" applyAlignment="1">
      <alignment horizontal="center" vertical="center"/>
    </xf>
    <xf numFmtId="176" fontId="50" fillId="0" borderId="100" xfId="0" applyNumberFormat="1" applyFont="1" applyFill="1" applyBorder="1" applyAlignment="1" applyProtection="1">
      <alignment horizontal="center" vertical="center"/>
    </xf>
    <xf numFmtId="176" fontId="50" fillId="0" borderId="106" xfId="0" applyNumberFormat="1" applyFont="1" applyFill="1" applyBorder="1" applyAlignment="1">
      <alignment horizontal="center" vertical="center"/>
    </xf>
    <xf numFmtId="165" fontId="50" fillId="0" borderId="101" xfId="0" applyNumberFormat="1" applyFont="1" applyFill="1" applyBorder="1" applyAlignment="1">
      <alignment horizontal="center" vertical="center"/>
    </xf>
    <xf numFmtId="169" fontId="50" fillId="0" borderId="101" xfId="0" applyNumberFormat="1" applyFont="1" applyFill="1" applyBorder="1" applyAlignment="1">
      <alignment horizontal="center" vertical="center"/>
    </xf>
    <xf numFmtId="169" fontId="50" fillId="0" borderId="100" xfId="0" applyNumberFormat="1" applyFont="1" applyFill="1" applyBorder="1" applyAlignment="1">
      <alignment horizontal="center" vertical="center"/>
    </xf>
    <xf numFmtId="166" fontId="50" fillId="0" borderId="100" xfId="0" applyNumberFormat="1" applyFont="1" applyFill="1" applyBorder="1" applyAlignment="1">
      <alignment horizontal="center" vertical="center"/>
    </xf>
    <xf numFmtId="171" fontId="50" fillId="0" borderId="100" xfId="0" applyNumberFormat="1" applyFont="1" applyFill="1" applyBorder="1" applyAlignment="1" applyProtection="1">
      <alignment horizontal="center" vertical="center"/>
    </xf>
    <xf numFmtId="168" fontId="50" fillId="0" borderId="106" xfId="0" applyNumberFormat="1" applyFont="1" applyFill="1" applyBorder="1" applyAlignment="1">
      <alignment horizontal="center" vertical="center"/>
    </xf>
    <xf numFmtId="170" fontId="50" fillId="0" borderId="101" xfId="0" applyNumberFormat="1" applyFont="1" applyFill="1" applyBorder="1" applyAlignment="1">
      <alignment horizontal="center" vertical="center"/>
    </xf>
    <xf numFmtId="165" fontId="50" fillId="0" borderId="101" xfId="1" applyFont="1" applyFill="1" applyBorder="1" applyAlignment="1">
      <alignment horizontal="center" vertical="center"/>
    </xf>
    <xf numFmtId="168" fontId="50" fillId="0" borderId="46" xfId="0" applyNumberFormat="1" applyFont="1" applyFill="1" applyBorder="1" applyAlignment="1">
      <alignment horizontal="center" vertical="center"/>
    </xf>
    <xf numFmtId="168" fontId="50" fillId="0" borderId="101" xfId="0" applyNumberFormat="1" applyFont="1" applyFill="1" applyBorder="1" applyAlignment="1">
      <alignment horizontal="center" vertical="center"/>
    </xf>
    <xf numFmtId="0" fontId="50" fillId="0" borderId="101" xfId="0" applyFont="1" applyFill="1" applyBorder="1" applyAlignment="1" applyProtection="1">
      <alignment horizontal="centerContinuous" vertical="center" wrapText="1"/>
    </xf>
    <xf numFmtId="0" fontId="50" fillId="0" borderId="100" xfId="0" applyFont="1" applyFill="1" applyBorder="1" applyAlignment="1" applyProtection="1">
      <alignment horizontal="centerContinuous" vertical="center" wrapText="1"/>
    </xf>
    <xf numFmtId="0" fontId="93" fillId="0" borderId="46" xfId="0" applyFont="1" applyBorder="1" applyAlignment="1">
      <alignment horizontal="centerContinuous" vertical="center" wrapText="1"/>
    </xf>
    <xf numFmtId="170" fontId="38" fillId="0" borderId="101" xfId="0" applyNumberFormat="1" applyFont="1" applyFill="1" applyBorder="1" applyAlignment="1">
      <alignment horizontal="center" vertical="center"/>
    </xf>
    <xf numFmtId="170" fontId="38" fillId="0" borderId="101" xfId="0" applyNumberFormat="1" applyFont="1" applyFill="1" applyBorder="1" applyAlignment="1">
      <alignment horizontal="left" vertical="center"/>
    </xf>
    <xf numFmtId="170" fontId="38" fillId="0" borderId="101" xfId="0" applyNumberFormat="1" applyFont="1" applyFill="1" applyBorder="1" applyAlignment="1">
      <alignment horizontal="right" vertical="center"/>
    </xf>
    <xf numFmtId="170" fontId="38" fillId="0" borderId="101" xfId="0" applyNumberFormat="1" applyFont="1" applyFill="1" applyBorder="1" applyAlignment="1" applyProtection="1">
      <alignment horizontal="center" vertical="center"/>
    </xf>
    <xf numFmtId="171" fontId="38" fillId="0" borderId="101" xfId="0" applyNumberFormat="1" applyFont="1" applyFill="1" applyBorder="1" applyAlignment="1" applyProtection="1">
      <alignment horizontal="center" vertical="center"/>
    </xf>
    <xf numFmtId="14" fontId="25" fillId="0" borderId="7" xfId="8" applyNumberFormat="1" applyFont="1" applyFill="1" applyBorder="1" applyAlignment="1" applyProtection="1">
      <alignment horizontal="center" wrapText="1"/>
      <protection locked="0"/>
    </xf>
    <xf numFmtId="0" fontId="38" fillId="0" borderId="3" xfId="0" applyFont="1" applyFill="1" applyBorder="1" applyAlignment="1" applyProtection="1">
      <alignment horizontal="center"/>
    </xf>
    <xf numFmtId="0" fontId="38" fillId="0" borderId="1" xfId="0" applyFont="1" applyFill="1" applyBorder="1" applyAlignment="1" applyProtection="1">
      <alignment horizontal="center"/>
    </xf>
    <xf numFmtId="0" fontId="25" fillId="0" borderId="1" xfId="0" applyFont="1" applyFill="1" applyBorder="1" applyAlignment="1" applyProtection="1">
      <alignment horizontal="center"/>
    </xf>
    <xf numFmtId="0" fontId="24" fillId="0" borderId="0" xfId="0" applyFont="1" applyFill="1" applyAlignment="1" applyProtection="1">
      <alignment horizontal="center"/>
      <protection locked="0"/>
    </xf>
    <xf numFmtId="0" fontId="50" fillId="0" borderId="90" xfId="0" applyFont="1" applyFill="1" applyBorder="1" applyAlignment="1" applyProtection="1">
      <alignment horizontal="center" vertical="center"/>
    </xf>
    <xf numFmtId="20" fontId="98" fillId="0" borderId="7" xfId="8" applyNumberFormat="1" applyFont="1" applyFill="1" applyBorder="1" applyAlignment="1" applyProtection="1">
      <alignment horizontal="left" vertical="center" wrapText="1"/>
      <protection locked="0"/>
    </xf>
    <xf numFmtId="0" fontId="38" fillId="0" borderId="9" xfId="0" applyFont="1" applyFill="1" applyBorder="1" applyAlignment="1" applyProtection="1">
      <alignment horizontal="center" vertical="center" wrapText="1"/>
      <protection locked="0"/>
    </xf>
    <xf numFmtId="0" fontId="38" fillId="0" borderId="0" xfId="0" applyFont="1" applyFill="1" applyBorder="1" applyAlignment="1" applyProtection="1">
      <alignment horizontal="center" vertical="center" wrapText="1"/>
      <protection locked="0"/>
    </xf>
    <xf numFmtId="0" fontId="75" fillId="0" borderId="5" xfId="0" applyFont="1" applyFill="1" applyBorder="1" applyAlignment="1" applyProtection="1">
      <alignment horizontal="centerContinuous" vertical="center"/>
    </xf>
    <xf numFmtId="0" fontId="75" fillId="0" borderId="9" xfId="0" applyFont="1" applyFill="1" applyBorder="1" applyAlignment="1" applyProtection="1">
      <alignment horizontal="centerContinuous" vertical="center" wrapText="1"/>
    </xf>
    <xf numFmtId="0" fontId="75" fillId="0" borderId="6" xfId="0" applyFont="1" applyFill="1" applyBorder="1" applyAlignment="1" applyProtection="1">
      <alignment horizontal="centerContinuous" vertical="center" wrapText="1"/>
    </xf>
    <xf numFmtId="0" fontId="24" fillId="0" borderId="6"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177" fontId="38" fillId="0" borderId="1" xfId="0" applyNumberFormat="1" applyFont="1" applyFill="1" applyBorder="1" applyAlignment="1" applyProtection="1">
      <alignment horizontal="center" vertical="center" wrapText="1"/>
      <protection locked="0"/>
    </xf>
    <xf numFmtId="177" fontId="38" fillId="0" borderId="6"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24" fillId="0" borderId="87" xfId="0" applyFont="1" applyFill="1" applyBorder="1" applyAlignment="1" applyProtection="1">
      <alignment horizontal="center" vertical="center" wrapText="1"/>
      <protection locked="0"/>
    </xf>
    <xf numFmtId="10" fontId="51" fillId="0" borderId="141" xfId="7"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xf>
    <xf numFmtId="0" fontId="24" fillId="0" borderId="5" xfId="8" applyNumberFormat="1" applyFont="1" applyFill="1" applyBorder="1" applyAlignment="1" applyProtection="1">
      <alignment horizontal="centerContinuous" vertical="center" wrapText="1"/>
    </xf>
    <xf numFmtId="0" fontId="24" fillId="0" borderId="9" xfId="8" applyNumberFormat="1" applyFont="1" applyFill="1" applyBorder="1" applyAlignment="1" applyProtection="1">
      <alignment horizontal="centerContinuous" vertical="center" wrapText="1"/>
    </xf>
    <xf numFmtId="0" fontId="24" fillId="0" borderId="6" xfId="8" applyNumberFormat="1" applyFont="1" applyFill="1" applyBorder="1" applyAlignment="1" applyProtection="1">
      <alignment horizontal="centerContinuous" vertical="center" wrapText="1"/>
    </xf>
    <xf numFmtId="0" fontId="59" fillId="0" borderId="0" xfId="0" applyFont="1" applyAlignment="1" applyProtection="1">
      <alignment horizontal="centerContinuous" vertical="center" wrapText="1"/>
    </xf>
    <xf numFmtId="0" fontId="57" fillId="0" borderId="0" xfId="0" applyFont="1" applyAlignment="1" applyProtection="1">
      <alignment horizontal="centerContinuous" vertical="center" wrapText="1"/>
    </xf>
    <xf numFmtId="0" fontId="194" fillId="0" borderId="0" xfId="0" applyFont="1" applyAlignment="1" applyProtection="1">
      <alignment horizontal="centerContinuous" vertical="center" wrapText="1"/>
    </xf>
    <xf numFmtId="0" fontId="60" fillId="0" borderId="0" xfId="8" applyFont="1" applyFill="1" applyBorder="1" applyAlignment="1" applyProtection="1">
      <alignment horizontal="centerContinuous" vertical="center" wrapText="1"/>
    </xf>
    <xf numFmtId="0" fontId="60" fillId="0" borderId="16" xfId="8" applyFont="1" applyFill="1" applyBorder="1" applyAlignment="1" applyProtection="1">
      <alignment horizontal="centerContinuous" vertical="center" wrapText="1"/>
    </xf>
    <xf numFmtId="0" fontId="59" fillId="0" borderId="0" xfId="0" applyFont="1" applyFill="1" applyAlignment="1" applyProtection="1">
      <alignment horizontal="centerContinuous" vertical="center" wrapText="1"/>
    </xf>
    <xf numFmtId="0" fontId="57" fillId="0" borderId="0" xfId="0" applyFont="1" applyFill="1" applyBorder="1" applyAlignment="1" applyProtection="1">
      <alignment horizontal="centerContinuous" vertical="center" wrapText="1"/>
    </xf>
    <xf numFmtId="0" fontId="194" fillId="0" borderId="0" xfId="0" applyFont="1" applyFill="1" applyBorder="1" applyAlignment="1" applyProtection="1">
      <alignment horizontal="centerContinuous" vertical="center" wrapText="1"/>
    </xf>
    <xf numFmtId="0" fontId="52" fillId="0" borderId="0" xfId="0" applyFont="1" applyFill="1" applyBorder="1" applyAlignment="1" applyProtection="1">
      <alignment horizontal="centerContinuous" vertical="center" wrapText="1"/>
    </xf>
    <xf numFmtId="0" fontId="68" fillId="0" borderId="0" xfId="0" applyFont="1" applyFill="1" applyBorder="1" applyAlignment="1" applyProtection="1">
      <alignment horizontal="centerContinuous" vertical="center" wrapText="1"/>
    </xf>
    <xf numFmtId="0" fontId="194" fillId="0" borderId="0" xfId="0" applyFont="1" applyFill="1" applyAlignment="1" applyProtection="1">
      <alignment horizontal="centerContinuous" vertical="center" wrapText="1"/>
    </xf>
    <xf numFmtId="0" fontId="62" fillId="0" borderId="5" xfId="0" applyFont="1" applyFill="1" applyBorder="1" applyAlignment="1" applyProtection="1">
      <alignment horizontal="centerContinuous" vertical="center" wrapText="1"/>
    </xf>
    <xf numFmtId="0" fontId="62" fillId="0" borderId="9" xfId="0" applyFont="1" applyFill="1" applyBorder="1" applyAlignment="1" applyProtection="1">
      <alignment horizontal="centerContinuous" vertical="center" wrapText="1"/>
    </xf>
    <xf numFmtId="0" fontId="62" fillId="0" borderId="6" xfId="0" applyFont="1" applyFill="1" applyBorder="1" applyAlignment="1" applyProtection="1">
      <alignment horizontal="centerContinuous" vertical="center" wrapText="1"/>
    </xf>
    <xf numFmtId="0" fontId="133" fillId="0" borderId="0" xfId="0" applyFont="1" applyAlignment="1" applyProtection="1">
      <alignment horizontal="centerContinuous" vertical="center" wrapText="1"/>
    </xf>
    <xf numFmtId="0" fontId="195" fillId="0" borderId="0" xfId="0" applyFont="1" applyAlignment="1" applyProtection="1">
      <alignment horizontal="centerContinuous" vertical="center" wrapText="1"/>
    </xf>
    <xf numFmtId="0" fontId="65" fillId="0" borderId="0" xfId="0" applyFont="1" applyBorder="1" applyAlignment="1" applyProtection="1">
      <alignment horizontal="centerContinuous" vertical="center" wrapText="1"/>
    </xf>
    <xf numFmtId="0" fontId="65" fillId="0" borderId="5" xfId="0" applyFont="1" applyBorder="1" applyAlignment="1" applyProtection="1">
      <alignment horizontal="centerContinuous" vertical="center" wrapText="1"/>
    </xf>
    <xf numFmtId="0" fontId="65" fillId="0" borderId="9" xfId="0" applyFont="1" applyBorder="1" applyAlignment="1" applyProtection="1">
      <alignment horizontal="centerContinuous" vertical="center" wrapText="1"/>
    </xf>
    <xf numFmtId="0" fontId="65" fillId="0" borderId="6" xfId="0" applyFont="1" applyBorder="1" applyAlignment="1" applyProtection="1">
      <alignment horizontal="centerContinuous" vertical="center" wrapText="1"/>
    </xf>
    <xf numFmtId="0" fontId="38" fillId="0" borderId="6"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protection locked="0"/>
    </xf>
    <xf numFmtId="0" fontId="38" fillId="13" borderId="1" xfId="0" applyFont="1" applyFill="1" applyBorder="1" applyAlignment="1">
      <alignment horizontal="center" vertical="center"/>
    </xf>
    <xf numFmtId="0" fontId="38" fillId="0" borderId="1"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0" fontId="24" fillId="0" borderId="4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213" xfId="0" applyFont="1" applyFill="1" applyBorder="1" applyAlignment="1">
      <alignment horizontal="center" vertical="center" wrapText="1"/>
    </xf>
    <xf numFmtId="0" fontId="38" fillId="0" borderId="12" xfId="0" applyFont="1" applyFill="1" applyBorder="1" applyAlignment="1">
      <alignment vertical="center" wrapText="1"/>
    </xf>
    <xf numFmtId="0" fontId="38" fillId="0" borderId="1" xfId="0" applyFont="1" applyFill="1" applyBorder="1" applyAlignment="1">
      <alignment vertical="center" wrapText="1"/>
    </xf>
    <xf numFmtId="0" fontId="205" fillId="0" borderId="1" xfId="84" applyFont="1" applyFill="1" applyBorder="1" applyAlignment="1" applyProtection="1">
      <alignment horizontal="left" vertical="center"/>
    </xf>
    <xf numFmtId="0" fontId="99" fillId="0" borderId="0" xfId="84" applyFill="1" applyAlignment="1" applyProtection="1">
      <alignment horizontal="left" vertical="center"/>
    </xf>
    <xf numFmtId="0" fontId="50" fillId="0" borderId="1" xfId="0" applyFont="1" applyFill="1" applyBorder="1" applyAlignment="1">
      <alignment horizontal="left" vertical="center"/>
    </xf>
    <xf numFmtId="0" fontId="38" fillId="13" borderId="1" xfId="0" applyFont="1" applyFill="1" applyBorder="1" applyAlignment="1" applyProtection="1">
      <alignment horizontal="center" vertical="center" wrapText="1"/>
    </xf>
    <xf numFmtId="0" fontId="24" fillId="35" borderId="0" xfId="0" applyFont="1" applyFill="1" applyAlignment="1">
      <alignment horizontal="left" vertical="center"/>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87"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1" xfId="0" applyFont="1" applyFill="1" applyBorder="1" applyAlignment="1">
      <alignment horizontal="center" vertical="center"/>
    </xf>
    <xf numFmtId="0" fontId="76" fillId="0" borderId="86" xfId="0" applyFont="1" applyFill="1" applyBorder="1" applyAlignment="1" applyProtection="1">
      <alignment horizontal="center" vertical="center"/>
    </xf>
    <xf numFmtId="0" fontId="94" fillId="11" borderId="0" xfId="0" applyFont="1" applyFill="1" applyAlignment="1">
      <alignment horizontal="centerContinuous" vertical="center"/>
    </xf>
    <xf numFmtId="0" fontId="94" fillId="11" borderId="7" xfId="0" applyFont="1" applyFill="1" applyBorder="1" applyAlignment="1">
      <alignment horizontal="centerContinuous" vertical="center"/>
    </xf>
    <xf numFmtId="174" fontId="38" fillId="11" borderId="9" xfId="0" applyNumberFormat="1" applyFont="1" applyFill="1" applyBorder="1" applyAlignment="1" applyProtection="1">
      <alignment vertical="center" wrapText="1"/>
    </xf>
    <xf numFmtId="0" fontId="38" fillId="11" borderId="9" xfId="0" quotePrefix="1" applyFont="1" applyFill="1" applyBorder="1" applyAlignment="1" applyProtection="1">
      <alignment horizontal="centerContinuous" vertical="center"/>
    </xf>
    <xf numFmtId="0" fontId="38" fillId="11" borderId="9" xfId="0" applyFont="1" applyFill="1" applyBorder="1" applyAlignment="1" applyProtection="1">
      <alignment vertical="center"/>
    </xf>
    <xf numFmtId="169" fontId="38" fillId="11" borderId="78" xfId="0" applyNumberFormat="1" applyFont="1" applyFill="1" applyBorder="1" applyAlignment="1">
      <alignment vertical="center" wrapText="1"/>
    </xf>
    <xf numFmtId="169" fontId="38" fillId="11" borderId="81" xfId="0" applyNumberFormat="1" applyFont="1" applyFill="1" applyBorder="1" applyAlignment="1">
      <alignment vertical="center" wrapText="1"/>
    </xf>
    <xf numFmtId="169" fontId="38" fillId="11" borderId="84" xfId="0" applyNumberFormat="1" applyFont="1" applyFill="1" applyBorder="1" applyAlignment="1">
      <alignment vertical="center" wrapText="1"/>
    </xf>
    <xf numFmtId="169" fontId="38" fillId="11" borderId="100" xfId="0" applyNumberFormat="1" applyFont="1" applyFill="1" applyBorder="1" applyAlignment="1">
      <alignment horizontal="center" vertical="center" wrapText="1"/>
    </xf>
    <xf numFmtId="170" fontId="38" fillId="11" borderId="100" xfId="0" applyNumberFormat="1" applyFont="1" applyFill="1" applyBorder="1" applyAlignment="1" applyProtection="1">
      <alignment horizontal="center" vertical="center"/>
      <protection locked="0"/>
    </xf>
    <xf numFmtId="169" fontId="38" fillId="11" borderId="100" xfId="0" applyNumberFormat="1" applyFont="1" applyFill="1" applyBorder="1" applyAlignment="1">
      <alignment horizontal="center" vertical="center"/>
    </xf>
    <xf numFmtId="167" fontId="38" fillId="11" borderId="100" xfId="0" applyNumberFormat="1" applyFont="1" applyFill="1" applyBorder="1" applyAlignment="1" applyProtection="1">
      <alignment horizontal="center" vertical="center"/>
      <protection locked="0"/>
    </xf>
    <xf numFmtId="167" fontId="38" fillId="11" borderId="100" xfId="0" applyNumberFormat="1" applyFont="1" applyFill="1" applyBorder="1" applyAlignment="1">
      <alignment horizontal="center" vertical="center"/>
    </xf>
    <xf numFmtId="0" fontId="38" fillId="11" borderId="69" xfId="0" applyFont="1" applyFill="1" applyBorder="1" applyAlignment="1" applyProtection="1">
      <alignment horizontal="centerContinuous" vertical="center"/>
    </xf>
    <xf numFmtId="0" fontId="38" fillId="11" borderId="100" xfId="0" applyFont="1" applyFill="1" applyBorder="1" applyAlignment="1" applyProtection="1">
      <alignment horizontal="centerContinuous" vertical="center" wrapText="1"/>
    </xf>
    <xf numFmtId="0" fontId="38" fillId="11" borderId="9" xfId="0" applyFont="1" applyFill="1" applyBorder="1" applyAlignment="1" applyProtection="1">
      <alignment horizontal="centerContinuous" vertical="center"/>
    </xf>
    <xf numFmtId="0" fontId="38" fillId="11" borderId="7" xfId="0" applyFont="1" applyFill="1" applyBorder="1" applyAlignment="1" applyProtection="1">
      <alignment vertical="center"/>
    </xf>
    <xf numFmtId="0" fontId="38" fillId="11" borderId="78" xfId="0" applyFont="1" applyFill="1" applyBorder="1" applyAlignment="1" applyProtection="1">
      <alignment horizontal="center" vertical="center"/>
    </xf>
    <xf numFmtId="0" fontId="38" fillId="11" borderId="84" xfId="0" applyFont="1" applyFill="1" applyBorder="1" applyAlignment="1" applyProtection="1">
      <alignment horizontal="center" vertical="center"/>
    </xf>
    <xf numFmtId="169" fontId="38" fillId="11" borderId="78" xfId="0" applyNumberFormat="1" applyFont="1" applyFill="1" applyBorder="1" applyAlignment="1">
      <alignment horizontal="center" vertical="center" wrapText="1"/>
    </xf>
    <xf numFmtId="169" fontId="38" fillId="11" borderId="84" xfId="0" applyNumberFormat="1" applyFont="1" applyFill="1" applyBorder="1" applyAlignment="1">
      <alignment horizontal="center" vertical="center" wrapText="1"/>
    </xf>
    <xf numFmtId="0" fontId="38" fillId="11" borderId="100" xfId="0" applyFont="1" applyFill="1" applyBorder="1" applyAlignment="1" applyProtection="1">
      <alignment horizontal="center" vertical="center"/>
    </xf>
    <xf numFmtId="165" fontId="38" fillId="11" borderId="100" xfId="0" applyNumberFormat="1" applyFont="1" applyFill="1" applyBorder="1" applyAlignment="1">
      <alignment horizontal="center" vertical="center"/>
    </xf>
    <xf numFmtId="0" fontId="38" fillId="11" borderId="7" xfId="0" applyFont="1" applyFill="1" applyBorder="1" applyAlignment="1">
      <alignment horizontal="center" vertical="center"/>
    </xf>
    <xf numFmtId="170" fontId="38" fillId="11" borderId="112" xfId="0" applyNumberFormat="1" applyFont="1" applyFill="1" applyBorder="1" applyAlignment="1" applyProtection="1">
      <alignment horizontal="center" vertical="center"/>
      <protection locked="0"/>
    </xf>
    <xf numFmtId="169" fontId="38" fillId="11" borderId="158" xfId="0" applyNumberFormat="1" applyFont="1" applyFill="1" applyBorder="1" applyAlignment="1">
      <alignment horizontal="center" vertical="center"/>
    </xf>
    <xf numFmtId="165" fontId="38" fillId="11" borderId="100" xfId="1" applyFont="1" applyFill="1" applyBorder="1" applyAlignment="1" applyProtection="1">
      <alignment vertical="center"/>
    </xf>
    <xf numFmtId="165" fontId="38" fillId="11" borderId="100" xfId="0" applyNumberFormat="1" applyFont="1" applyFill="1" applyBorder="1" applyAlignment="1" applyProtection="1">
      <alignment vertical="center"/>
      <protection locked="0"/>
    </xf>
    <xf numFmtId="0" fontId="38" fillId="11" borderId="110" xfId="0" applyFont="1" applyFill="1" applyBorder="1" applyAlignment="1">
      <alignment horizontal="center" vertical="center"/>
    </xf>
    <xf numFmtId="0" fontId="94" fillId="11" borderId="69" xfId="0" applyFont="1" applyFill="1" applyBorder="1" applyAlignment="1">
      <alignment horizontal="centerContinuous" vertical="center"/>
    </xf>
    <xf numFmtId="174" fontId="95" fillId="11" borderId="9" xfId="0" applyNumberFormat="1" applyFont="1" applyFill="1" applyBorder="1" applyAlignment="1" applyProtection="1">
      <alignment vertical="center" wrapText="1"/>
    </xf>
    <xf numFmtId="177" fontId="51" fillId="11" borderId="78" xfId="0" applyNumberFormat="1" applyFont="1" applyFill="1" applyBorder="1" applyAlignment="1" applyProtection="1">
      <alignment vertical="center"/>
    </xf>
    <xf numFmtId="177" fontId="51" fillId="11" borderId="81" xfId="0" applyNumberFormat="1" applyFont="1" applyFill="1" applyBorder="1" applyAlignment="1" applyProtection="1">
      <alignment vertical="center"/>
    </xf>
    <xf numFmtId="177" fontId="51" fillId="11" borderId="84" xfId="0" applyNumberFormat="1" applyFont="1" applyFill="1" applyBorder="1" applyAlignment="1" applyProtection="1">
      <alignment vertical="center"/>
    </xf>
    <xf numFmtId="167" fontId="38" fillId="11" borderId="100" xfId="0" applyNumberFormat="1" applyFont="1" applyFill="1" applyBorder="1" applyAlignment="1" applyProtection="1">
      <alignment horizontal="center" vertical="center"/>
    </xf>
    <xf numFmtId="168" fontId="38" fillId="11" borderId="100" xfId="0" applyNumberFormat="1" applyFont="1" applyFill="1" applyBorder="1" applyAlignment="1" applyProtection="1">
      <alignment horizontal="center" vertical="center"/>
    </xf>
    <xf numFmtId="171" fontId="38" fillId="11" borderId="100"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shrinkToFit="1"/>
    </xf>
    <xf numFmtId="0" fontId="38" fillId="11" borderId="69" xfId="0" applyFont="1" applyFill="1" applyBorder="1" applyAlignment="1" applyProtection="1">
      <alignment vertical="center"/>
    </xf>
    <xf numFmtId="167" fontId="38" fillId="11" borderId="78" xfId="0" applyNumberFormat="1" applyFont="1" applyFill="1" applyBorder="1" applyAlignment="1" applyProtection="1">
      <alignment horizontal="center" vertical="center"/>
    </xf>
    <xf numFmtId="167" fontId="38" fillId="11" borderId="84" xfId="0" applyNumberFormat="1" applyFont="1" applyFill="1" applyBorder="1" applyAlignment="1" applyProtection="1">
      <alignment horizontal="center" vertical="center"/>
    </xf>
    <xf numFmtId="177" fontId="51" fillId="11" borderId="100" xfId="0" applyNumberFormat="1" applyFont="1" applyFill="1" applyBorder="1" applyAlignment="1" applyProtection="1">
      <alignment vertical="center" shrinkToFit="1"/>
    </xf>
    <xf numFmtId="165" fontId="51" fillId="11" borderId="100" xfId="0" applyNumberFormat="1" applyFont="1" applyFill="1" applyBorder="1" applyAlignment="1" applyProtection="1">
      <alignment vertical="center" shrinkToFit="1"/>
    </xf>
    <xf numFmtId="0" fontId="38" fillId="11" borderId="69" xfId="0" applyFont="1" applyFill="1" applyBorder="1" applyAlignment="1">
      <alignment horizontal="center" vertical="center"/>
    </xf>
    <xf numFmtId="167" fontId="38" fillId="11" borderId="112" xfId="0" applyNumberFormat="1" applyFont="1" applyFill="1" applyBorder="1" applyAlignment="1" applyProtection="1">
      <alignment horizontal="center" vertical="center"/>
      <protection locked="0"/>
    </xf>
    <xf numFmtId="168" fontId="51" fillId="11" borderId="158"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xf>
    <xf numFmtId="165" fontId="38" fillId="11" borderId="100" xfId="1" applyFont="1" applyFill="1" applyBorder="1" applyAlignment="1" applyProtection="1">
      <alignment horizontal="centerContinuous" vertical="center"/>
    </xf>
    <xf numFmtId="165" fontId="51" fillId="11" borderId="100" xfId="0" applyNumberFormat="1" applyFont="1" applyFill="1" applyBorder="1" applyAlignment="1" applyProtection="1">
      <alignment horizontal="center" vertical="center"/>
    </xf>
    <xf numFmtId="0" fontId="38" fillId="11" borderId="112" xfId="0" applyFont="1" applyFill="1" applyBorder="1" applyAlignment="1" applyProtection="1">
      <alignment horizontal="center" vertical="center"/>
    </xf>
    <xf numFmtId="0" fontId="38" fillId="11" borderId="0" xfId="0" applyFont="1" applyFill="1" applyBorder="1" applyAlignment="1" applyProtection="1">
      <alignment horizontal="centerContinuous" vertical="center"/>
    </xf>
    <xf numFmtId="0" fontId="38" fillId="11" borderId="8" xfId="0" applyFont="1" applyFill="1" applyBorder="1" applyAlignment="1" applyProtection="1">
      <alignment vertical="center"/>
    </xf>
    <xf numFmtId="0" fontId="38" fillId="11" borderId="8" xfId="0" applyFont="1" applyFill="1" applyBorder="1" applyAlignment="1" applyProtection="1">
      <alignment horizontal="centerContinuous" vertical="center"/>
    </xf>
    <xf numFmtId="0" fontId="0" fillId="11" borderId="100" xfId="0" applyFont="1" applyFill="1" applyBorder="1" applyAlignment="1">
      <alignment horizontal="centerContinuous" vertical="center" wrapText="1"/>
    </xf>
    <xf numFmtId="0" fontId="38" fillId="11" borderId="4" xfId="0" quotePrefix="1" applyFont="1" applyFill="1" applyBorder="1" applyAlignment="1" applyProtection="1">
      <alignment vertical="center" wrapText="1"/>
    </xf>
    <xf numFmtId="0" fontId="38" fillId="11" borderId="6" xfId="0" applyFont="1" applyFill="1" applyBorder="1" applyAlignment="1" applyProtection="1">
      <alignment horizontal="center" vertical="center"/>
    </xf>
    <xf numFmtId="171" fontId="38" fillId="11" borderId="116" xfId="0" applyNumberFormat="1" applyFont="1" applyFill="1" applyBorder="1" applyAlignment="1">
      <alignment vertical="center"/>
    </xf>
    <xf numFmtId="171" fontId="38" fillId="11" borderId="118" xfId="0" applyNumberFormat="1" applyFont="1" applyFill="1" applyBorder="1" applyAlignment="1">
      <alignment vertical="center"/>
    </xf>
    <xf numFmtId="171" fontId="38" fillId="11" borderId="120" xfId="0" applyNumberFormat="1" applyFont="1" applyFill="1" applyBorder="1" applyAlignment="1">
      <alignment vertical="center"/>
    </xf>
    <xf numFmtId="171" fontId="38" fillId="11" borderId="1" xfId="0" applyNumberFormat="1" applyFont="1" applyFill="1" applyBorder="1" applyAlignment="1">
      <alignment horizontal="center" vertical="center"/>
    </xf>
    <xf numFmtId="171" fontId="38" fillId="11" borderId="6" xfId="0" applyNumberFormat="1" applyFont="1" applyFill="1" applyBorder="1" applyAlignment="1">
      <alignment horizontal="center" vertical="center"/>
    </xf>
    <xf numFmtId="170" fontId="38" fillId="11" borderId="9" xfId="0" applyNumberFormat="1" applyFont="1" applyFill="1" applyBorder="1" applyAlignment="1" applyProtection="1">
      <alignment horizontal="center" vertical="center"/>
      <protection locked="0"/>
    </xf>
    <xf numFmtId="170" fontId="38" fillId="11" borderId="1" xfId="0" applyNumberFormat="1" applyFont="1" applyFill="1" applyBorder="1" applyAlignment="1" applyProtection="1">
      <alignment horizontal="center" vertical="center"/>
      <protection locked="0"/>
    </xf>
    <xf numFmtId="170" fontId="38" fillId="11" borderId="6" xfId="0" applyNumberFormat="1" applyFont="1" applyFill="1" applyBorder="1" applyAlignment="1" applyProtection="1">
      <alignment horizontal="center" vertical="center"/>
      <protection locked="0"/>
    </xf>
    <xf numFmtId="167" fontId="38" fillId="11" borderId="14" xfId="0" applyNumberFormat="1" applyFont="1" applyFill="1" applyBorder="1" applyAlignment="1" applyProtection="1">
      <alignment horizontal="center" vertical="center"/>
      <protection locked="0"/>
    </xf>
    <xf numFmtId="0" fontId="38" fillId="11" borderId="2" xfId="0" applyFont="1" applyFill="1" applyBorder="1" applyAlignment="1" applyProtection="1">
      <alignment horizontal="center" vertical="center" wrapText="1"/>
    </xf>
    <xf numFmtId="177" fontId="38" fillId="11" borderId="2" xfId="0" applyNumberFormat="1" applyFont="1" applyFill="1" applyBorder="1" applyAlignment="1" applyProtection="1">
      <alignment horizontal="center" vertical="center" wrapText="1"/>
    </xf>
    <xf numFmtId="0" fontId="38" fillId="11" borderId="9" xfId="0" applyFont="1" applyFill="1" applyBorder="1" applyAlignment="1" applyProtection="1">
      <alignment horizontal="centerContinuous" vertical="center" wrapText="1"/>
    </xf>
    <xf numFmtId="0" fontId="38" fillId="11" borderId="1" xfId="0" applyFont="1" applyFill="1" applyBorder="1" applyAlignment="1" applyProtection="1">
      <alignment horizontal="center" vertical="center" wrapText="1"/>
    </xf>
    <xf numFmtId="0" fontId="38" fillId="11" borderId="123" xfId="0" applyFont="1" applyFill="1" applyBorder="1" applyAlignment="1" applyProtection="1">
      <alignment horizontal="center" vertical="center"/>
    </xf>
    <xf numFmtId="0" fontId="38" fillId="11" borderId="121" xfId="0" applyFont="1" applyFill="1" applyBorder="1" applyAlignment="1" applyProtection="1">
      <alignment horizontal="center" vertical="center"/>
    </xf>
    <xf numFmtId="171" fontId="38" fillId="11" borderId="123" xfId="0" applyNumberFormat="1" applyFont="1" applyFill="1" applyBorder="1" applyAlignment="1">
      <alignment horizontal="center" vertical="center"/>
    </xf>
    <xf numFmtId="171" fontId="38" fillId="11" borderId="121" xfId="0" applyNumberFormat="1" applyFont="1" applyFill="1" applyBorder="1" applyAlignment="1">
      <alignment horizontal="center" vertical="center"/>
    </xf>
    <xf numFmtId="165" fontId="38" fillId="11" borderId="1" xfId="0" applyNumberFormat="1" applyFont="1" applyFill="1" applyBorder="1" applyAlignment="1" applyProtection="1">
      <alignment horizontal="center" vertical="center"/>
      <protection locked="0"/>
    </xf>
    <xf numFmtId="0" fontId="38" fillId="11" borderId="46" xfId="0" applyFont="1" applyFill="1" applyBorder="1" applyAlignment="1" applyProtection="1">
      <alignment horizontal="center" vertical="center" wrapText="1"/>
    </xf>
    <xf numFmtId="0" fontId="38" fillId="11" borderId="100" xfId="0" applyFont="1" applyFill="1" applyBorder="1" applyAlignment="1" applyProtection="1">
      <alignment horizontal="center" vertical="center" wrapText="1"/>
    </xf>
    <xf numFmtId="170" fontId="38" fillId="11" borderId="106" xfId="0" applyNumberFormat="1" applyFont="1" applyFill="1" applyBorder="1" applyAlignment="1" applyProtection="1">
      <alignment horizontal="center" vertical="center"/>
      <protection locked="0"/>
    </xf>
    <xf numFmtId="0" fontId="38" fillId="11" borderId="106" xfId="0" applyFont="1" applyFill="1" applyBorder="1" applyAlignment="1" applyProtection="1">
      <alignment horizontal="center" vertical="center"/>
    </xf>
    <xf numFmtId="170" fontId="38" fillId="11" borderId="155" xfId="0" applyNumberFormat="1" applyFont="1" applyFill="1" applyBorder="1" applyAlignment="1" applyProtection="1">
      <alignment horizontal="center" vertical="center"/>
      <protection locked="0"/>
    </xf>
    <xf numFmtId="170" fontId="38" fillId="11" borderId="149" xfId="0" applyNumberFormat="1" applyFont="1" applyFill="1" applyBorder="1" applyAlignment="1" applyProtection="1">
      <alignment vertical="center"/>
      <protection locked="0"/>
    </xf>
    <xf numFmtId="170" fontId="38" fillId="11" borderId="9" xfId="0" applyNumberFormat="1" applyFont="1" applyFill="1" applyBorder="1" applyAlignment="1" applyProtection="1">
      <alignment vertical="center"/>
      <protection locked="0"/>
    </xf>
    <xf numFmtId="177" fontId="50" fillId="11" borderId="101" xfId="1" applyNumberFormat="1" applyFont="1" applyFill="1" applyBorder="1" applyAlignment="1" applyProtection="1">
      <alignment horizontal="center" vertical="center"/>
    </xf>
    <xf numFmtId="0" fontId="38" fillId="11" borderId="111" xfId="0" applyFont="1" applyFill="1" applyBorder="1" applyAlignment="1">
      <alignment horizontal="center" vertical="center"/>
    </xf>
    <xf numFmtId="0" fontId="38" fillId="11" borderId="106" xfId="0" applyFont="1" applyFill="1" applyBorder="1" applyAlignment="1" applyProtection="1">
      <alignment vertical="center" wrapText="1"/>
    </xf>
    <xf numFmtId="165" fontId="38" fillId="11" borderId="6" xfId="1" applyFont="1" applyFill="1" applyBorder="1" applyAlignment="1" applyProtection="1">
      <alignment horizontal="center" vertical="center"/>
    </xf>
    <xf numFmtId="165" fontId="38" fillId="11" borderId="9" xfId="0" applyNumberFormat="1" applyFont="1" applyFill="1" applyBorder="1" applyAlignment="1" applyProtection="1">
      <alignment vertical="center"/>
      <protection locked="0"/>
    </xf>
    <xf numFmtId="41" fontId="38" fillId="11" borderId="106" xfId="0" applyNumberFormat="1" applyFont="1" applyFill="1" applyBorder="1" applyAlignment="1" applyProtection="1">
      <alignment vertical="center" wrapText="1"/>
    </xf>
    <xf numFmtId="0" fontId="38" fillId="11" borderId="1" xfId="0" applyNumberFormat="1" applyFont="1" applyFill="1" applyBorder="1" applyAlignment="1" applyProtection="1">
      <alignment horizontal="center" vertical="center"/>
    </xf>
    <xf numFmtId="170" fontId="38" fillId="11" borderId="5" xfId="0" applyNumberFormat="1" applyFont="1" applyFill="1" applyBorder="1" applyAlignment="1" applyProtection="1">
      <alignment horizontal="center" vertical="center"/>
      <protection locked="0"/>
    </xf>
    <xf numFmtId="0" fontId="38" fillId="11" borderId="5" xfId="0" applyFont="1" applyFill="1" applyBorder="1" applyAlignment="1" applyProtection="1">
      <alignment vertical="center" wrapText="1"/>
    </xf>
    <xf numFmtId="0" fontId="38" fillId="11" borderId="1" xfId="0" applyFont="1" applyFill="1" applyBorder="1" applyAlignment="1" applyProtection="1">
      <alignment horizontal="center" vertical="center"/>
    </xf>
    <xf numFmtId="0" fontId="38" fillId="11" borderId="116" xfId="0" applyNumberFormat="1" applyFont="1" applyFill="1" applyBorder="1" applyAlignment="1" applyProtection="1">
      <alignment horizontal="center" vertical="center"/>
    </xf>
    <xf numFmtId="0" fontId="38" fillId="11" borderId="120" xfId="0" applyNumberFormat="1" applyFont="1" applyFill="1" applyBorder="1" applyAlignment="1" applyProtection="1">
      <alignment horizontal="center" vertical="center"/>
    </xf>
    <xf numFmtId="171" fontId="38" fillId="11" borderId="116" xfId="0" applyNumberFormat="1" applyFont="1" applyFill="1" applyBorder="1" applyAlignment="1">
      <alignment horizontal="center" vertical="center"/>
    </xf>
    <xf numFmtId="171" fontId="38" fillId="11" borderId="120" xfId="0" applyNumberFormat="1" applyFont="1" applyFill="1" applyBorder="1" applyAlignment="1">
      <alignment horizontal="center" vertical="center"/>
    </xf>
    <xf numFmtId="0" fontId="38" fillId="11" borderId="46" xfId="0" applyFont="1" applyFill="1" applyBorder="1" applyAlignment="1" applyProtection="1">
      <alignment vertical="center" wrapText="1"/>
    </xf>
    <xf numFmtId="0" fontId="38" fillId="11" borderId="5" xfId="0" applyFont="1" applyFill="1" applyBorder="1" applyAlignment="1" applyProtection="1">
      <alignment vertical="center" wrapText="1"/>
      <protection locked="0"/>
    </xf>
    <xf numFmtId="0" fontId="38" fillId="11" borderId="5" xfId="0" applyNumberFormat="1" applyFont="1" applyFill="1" applyBorder="1" applyAlignment="1" applyProtection="1">
      <alignment horizontal="center" vertical="center"/>
    </xf>
    <xf numFmtId="0" fontId="38" fillId="11" borderId="13" xfId="0" applyNumberFormat="1" applyFont="1" applyFill="1" applyBorder="1" applyAlignment="1" applyProtection="1">
      <alignment horizontal="center" vertical="center"/>
    </xf>
    <xf numFmtId="0" fontId="38" fillId="11" borderId="101" xfId="0" applyFont="1" applyFill="1" applyBorder="1" applyAlignment="1" applyProtection="1">
      <alignment horizontal="centerContinuous" vertical="center" wrapText="1"/>
    </xf>
    <xf numFmtId="177" fontId="38" fillId="11" borderId="46" xfId="0" applyNumberFormat="1" applyFont="1" applyFill="1" applyBorder="1" applyAlignment="1" applyProtection="1">
      <alignment vertical="center" wrapText="1"/>
    </xf>
    <xf numFmtId="0" fontId="38" fillId="11" borderId="9" xfId="0" applyFont="1" applyFill="1" applyBorder="1" applyAlignment="1" applyProtection="1">
      <alignment vertical="center" wrapText="1"/>
    </xf>
    <xf numFmtId="165" fontId="38" fillId="11" borderId="1" xfId="1" applyFont="1" applyFill="1" applyBorder="1" applyAlignment="1" applyProtection="1">
      <alignment horizontal="center" vertical="center"/>
    </xf>
    <xf numFmtId="41" fontId="38" fillId="11" borderId="9" xfId="0" applyNumberFormat="1" applyFont="1" applyFill="1" applyBorder="1" applyAlignment="1" applyProtection="1">
      <alignment vertical="center" wrapText="1"/>
    </xf>
    <xf numFmtId="0" fontId="38" fillId="11" borderId="10" xfId="0" applyFont="1" applyFill="1" applyBorder="1" applyAlignment="1" applyProtection="1">
      <alignment horizontal="center" vertical="center" wrapText="1"/>
    </xf>
    <xf numFmtId="0" fontId="38" fillId="11" borderId="12" xfId="0" applyFont="1" applyFill="1" applyBorder="1" applyAlignment="1" applyProtection="1">
      <alignment horizontal="center" vertical="center"/>
    </xf>
    <xf numFmtId="170" fontId="38" fillId="11" borderId="145" xfId="0" applyNumberFormat="1" applyFont="1" applyFill="1" applyBorder="1" applyAlignment="1" applyProtection="1">
      <alignment vertical="center"/>
      <protection locked="0"/>
    </xf>
    <xf numFmtId="170" fontId="38" fillId="11" borderId="5" xfId="0" applyNumberFormat="1" applyFont="1" applyFill="1" applyBorder="1" applyAlignment="1" applyProtection="1">
      <alignment vertical="center"/>
      <protection locked="0"/>
    </xf>
    <xf numFmtId="0" fontId="38" fillId="11" borderId="108" xfId="0" applyFont="1" applyFill="1" applyBorder="1" applyAlignment="1" applyProtection="1">
      <alignment horizontal="centerContinuous" vertical="center" wrapText="1"/>
    </xf>
    <xf numFmtId="0" fontId="38" fillId="11" borderId="85" xfId="0" applyFont="1" applyFill="1" applyBorder="1" applyAlignment="1" applyProtection="1">
      <alignment vertical="center" wrapText="1"/>
    </xf>
    <xf numFmtId="177" fontId="38" fillId="11" borderId="85" xfId="0" applyNumberFormat="1" applyFont="1" applyFill="1" applyBorder="1" applyAlignment="1" applyProtection="1">
      <alignment vertical="center" wrapText="1"/>
    </xf>
    <xf numFmtId="0" fontId="38" fillId="11" borderId="46" xfId="0" applyFont="1" applyFill="1" applyBorder="1" applyAlignment="1">
      <alignment horizontal="center" vertical="center"/>
    </xf>
    <xf numFmtId="165" fontId="38" fillId="11" borderId="5" xfId="0" applyNumberFormat="1" applyFont="1" applyFill="1" applyBorder="1" applyAlignment="1" applyProtection="1">
      <alignment vertical="center"/>
      <protection locked="0"/>
    </xf>
    <xf numFmtId="41" fontId="38" fillId="11" borderId="46" xfId="0" applyNumberFormat="1" applyFont="1" applyFill="1" applyBorder="1" applyAlignment="1" applyProtection="1">
      <alignment vertical="center" wrapText="1"/>
    </xf>
    <xf numFmtId="0" fontId="38" fillId="11" borderId="0" xfId="0" applyFont="1" applyFill="1" applyAlignment="1" applyProtection="1">
      <alignment horizontal="centerContinuous" vertical="center"/>
    </xf>
    <xf numFmtId="0" fontId="38" fillId="11" borderId="10" xfId="0" applyFont="1" applyFill="1" applyBorder="1" applyAlignment="1" applyProtection="1">
      <alignment horizontal="center" vertical="center" wrapText="1"/>
      <protection locked="0"/>
    </xf>
    <xf numFmtId="0" fontId="38" fillId="11" borderId="1" xfId="0" applyFont="1" applyFill="1" applyBorder="1" applyAlignment="1" applyProtection="1">
      <alignment horizontal="center" vertical="center" wrapText="1"/>
      <protection locked="0"/>
    </xf>
    <xf numFmtId="0" fontId="38" fillId="11" borderId="5" xfId="0" applyFont="1" applyFill="1" applyBorder="1" applyAlignment="1" applyProtection="1">
      <alignment horizontal="centerContinuous" vertical="center" wrapText="1"/>
    </xf>
    <xf numFmtId="170" fontId="38" fillId="11" borderId="147" xfId="0" applyNumberFormat="1" applyFont="1" applyFill="1" applyBorder="1" applyAlignment="1" applyProtection="1">
      <alignment horizontal="center" vertical="center"/>
      <protection locked="0"/>
    </xf>
    <xf numFmtId="165" fontId="38" fillId="11" borderId="103" xfId="1" applyFont="1" applyFill="1" applyBorder="1" applyAlignment="1" applyProtection="1">
      <alignment horizontal="center" vertical="center"/>
    </xf>
    <xf numFmtId="0" fontId="38" fillId="11" borderId="109" xfId="0" applyFont="1" applyFill="1" applyBorder="1" applyAlignment="1">
      <alignment horizontal="center" vertical="center"/>
    </xf>
    <xf numFmtId="0" fontId="38" fillId="11" borderId="9" xfId="0" applyFont="1" applyFill="1" applyBorder="1" applyAlignment="1">
      <alignment horizontal="center" vertical="center"/>
    </xf>
    <xf numFmtId="165" fontId="50" fillId="11" borderId="77" xfId="1" applyNumberFormat="1" applyFont="1" applyFill="1" applyBorder="1" applyAlignment="1" applyProtection="1">
      <alignment vertical="center"/>
    </xf>
    <xf numFmtId="165" fontId="50" fillId="11" borderId="101" xfId="1" applyNumberFormat="1" applyFont="1" applyFill="1" applyBorder="1" applyAlignment="1" applyProtection="1">
      <alignment vertical="center"/>
    </xf>
    <xf numFmtId="168" fontId="38" fillId="11" borderId="106" xfId="0" applyNumberFormat="1" applyFont="1" applyFill="1" applyBorder="1" applyAlignment="1">
      <alignment horizontal="center" vertical="center"/>
    </xf>
    <xf numFmtId="170" fontId="38" fillId="11" borderId="146" xfId="0" applyNumberFormat="1" applyFont="1" applyFill="1" applyBorder="1" applyAlignment="1" applyProtection="1">
      <alignment horizontal="center" vertical="center"/>
      <protection locked="0"/>
    </xf>
    <xf numFmtId="165" fontId="38" fillId="11" borderId="6" xfId="0" applyNumberFormat="1" applyFont="1" applyFill="1" applyBorder="1" applyAlignment="1" applyProtection="1">
      <alignment vertical="center"/>
      <protection locked="0"/>
    </xf>
    <xf numFmtId="0" fontId="213" fillId="11" borderId="0" xfId="0" applyFont="1" applyFill="1" applyAlignment="1">
      <alignment horizontal="centerContinuous" vertical="center"/>
    </xf>
    <xf numFmtId="0" fontId="213" fillId="11" borderId="7" xfId="0" applyFont="1" applyFill="1" applyBorder="1" applyAlignment="1">
      <alignment horizontal="centerContinuous" vertical="center"/>
    </xf>
    <xf numFmtId="174" fontId="212" fillId="11" borderId="9" xfId="0" applyNumberFormat="1" applyFont="1" applyFill="1" applyBorder="1" applyAlignment="1" applyProtection="1">
      <alignment vertical="center" wrapText="1"/>
    </xf>
    <xf numFmtId="0" fontId="38" fillId="11" borderId="5" xfId="0" quotePrefix="1" applyFont="1" applyFill="1" applyBorder="1" applyAlignment="1" applyProtection="1">
      <alignment vertical="center" wrapText="1"/>
    </xf>
    <xf numFmtId="0" fontId="212" fillId="11" borderId="123" xfId="0" applyFont="1" applyFill="1" applyBorder="1" applyAlignment="1">
      <alignment horizontal="center" vertical="center"/>
    </xf>
    <xf numFmtId="0" fontId="212" fillId="11" borderId="124" xfId="0" applyFont="1" applyFill="1" applyBorder="1" applyAlignment="1">
      <alignment horizontal="center" vertical="center"/>
    </xf>
    <xf numFmtId="171" fontId="38" fillId="11" borderId="118" xfId="0" applyNumberFormat="1" applyFont="1" applyFill="1" applyBorder="1" applyAlignment="1">
      <alignment horizontal="center" vertical="center"/>
    </xf>
    <xf numFmtId="0" fontId="212" fillId="11" borderId="121" xfId="0" applyFont="1" applyFill="1" applyBorder="1" applyAlignment="1">
      <alignment horizontal="center" vertical="center"/>
    </xf>
    <xf numFmtId="171" fontId="212" fillId="11" borderId="6" xfId="0" quotePrefix="1" applyNumberFormat="1" applyFont="1" applyFill="1" applyBorder="1" applyAlignment="1">
      <alignment horizontal="center" vertical="center"/>
    </xf>
    <xf numFmtId="168" fontId="212" fillId="11" borderId="6" xfId="0" quotePrefix="1" applyNumberFormat="1" applyFont="1" applyFill="1" applyBorder="1" applyAlignment="1">
      <alignment horizontal="center" vertical="center"/>
    </xf>
    <xf numFmtId="173" fontId="212" fillId="11" borderId="6" xfId="0" applyNumberFormat="1" applyFont="1" applyFill="1" applyBorder="1" applyAlignment="1">
      <alignment horizontal="center" vertical="center"/>
    </xf>
    <xf numFmtId="10" fontId="212" fillId="11" borderId="70" xfId="0" applyNumberFormat="1" applyFont="1" applyFill="1" applyBorder="1" applyAlignment="1">
      <alignment horizontal="center" vertical="center"/>
    </xf>
    <xf numFmtId="171" fontId="38" fillId="11" borderId="5" xfId="0" applyNumberFormat="1" applyFont="1" applyFill="1" applyBorder="1" applyAlignment="1">
      <alignment horizontal="center" vertical="center"/>
    </xf>
    <xf numFmtId="166" fontId="212" fillId="11" borderId="6" xfId="0" quotePrefix="1" applyNumberFormat="1" applyFont="1" applyFill="1" applyBorder="1" applyAlignment="1">
      <alignment horizontal="center" vertical="center"/>
    </xf>
    <xf numFmtId="0" fontId="212" fillId="11" borderId="9" xfId="0" applyFont="1" applyFill="1" applyBorder="1" applyAlignment="1" applyProtection="1">
      <alignment horizontal="centerContinuous" vertical="center"/>
    </xf>
    <xf numFmtId="0" fontId="212" fillId="11" borderId="0" xfId="0" applyFont="1" applyFill="1" applyBorder="1" applyAlignment="1" applyProtection="1">
      <alignment horizontal="center" vertical="center" wrapText="1"/>
    </xf>
    <xf numFmtId="0" fontId="38" fillId="11" borderId="0" xfId="0" applyFont="1" applyFill="1" applyBorder="1" applyAlignment="1" applyProtection="1">
      <alignment horizontal="center" vertical="center" wrapText="1"/>
    </xf>
    <xf numFmtId="0" fontId="212" fillId="11" borderId="6" xfId="0" applyNumberFormat="1" applyFont="1" applyFill="1" applyBorder="1" applyAlignment="1" applyProtection="1">
      <alignment horizontal="center" vertical="center" wrapText="1"/>
    </xf>
    <xf numFmtId="0" fontId="38" fillId="11" borderId="9" xfId="0" applyNumberFormat="1" applyFont="1" applyFill="1" applyBorder="1" applyAlignment="1" applyProtection="1">
      <alignment horizontal="center" vertical="center" wrapText="1"/>
    </xf>
    <xf numFmtId="0" fontId="212" fillId="11" borderId="70" xfId="0" applyNumberFormat="1" applyFont="1" applyFill="1" applyBorder="1" applyAlignment="1" applyProtection="1">
      <alignment horizontal="center" vertical="center" wrapText="1"/>
    </xf>
    <xf numFmtId="0" fontId="38" fillId="11" borderId="2" xfId="0" applyNumberFormat="1" applyFont="1" applyFill="1" applyBorder="1" applyAlignment="1" applyProtection="1">
      <alignment horizontal="center" vertical="center" wrapText="1"/>
    </xf>
    <xf numFmtId="0" fontId="38" fillId="11" borderId="1" xfId="0" applyNumberFormat="1" applyFont="1" applyFill="1" applyBorder="1" applyAlignment="1" applyProtection="1">
      <alignment horizontal="center" vertical="center" wrapText="1"/>
    </xf>
    <xf numFmtId="0" fontId="38" fillId="11" borderId="9" xfId="8" applyFont="1" applyFill="1" applyBorder="1" applyAlignment="1" applyProtection="1">
      <alignment horizontal="center" vertical="center"/>
    </xf>
    <xf numFmtId="0" fontId="212" fillId="11" borderId="6" xfId="0" applyNumberFormat="1" applyFont="1" applyFill="1" applyBorder="1" applyAlignment="1">
      <alignment horizontal="center" vertical="center" wrapText="1"/>
    </xf>
    <xf numFmtId="0" fontId="38" fillId="11" borderId="9" xfId="0" applyNumberFormat="1" applyFont="1" applyFill="1" applyBorder="1" applyAlignment="1">
      <alignment horizontal="center" vertical="center" wrapText="1"/>
    </xf>
    <xf numFmtId="0" fontId="212" fillId="11" borderId="1" xfId="0" applyNumberFormat="1" applyFont="1" applyFill="1" applyBorder="1" applyAlignment="1">
      <alignment horizontal="center" vertical="center" wrapText="1"/>
    </xf>
    <xf numFmtId="0" fontId="38" fillId="11" borderId="1" xfId="0" applyNumberFormat="1" applyFont="1" applyFill="1" applyBorder="1" applyAlignment="1">
      <alignment horizontal="center" vertical="center" wrapText="1"/>
    </xf>
    <xf numFmtId="0" fontId="212" fillId="11" borderId="7" xfId="0" applyFont="1" applyFill="1" applyBorder="1" applyAlignment="1">
      <alignment horizontal="center" vertical="center"/>
    </xf>
    <xf numFmtId="0" fontId="212" fillId="11" borderId="116" xfId="0" applyFont="1" applyFill="1" applyBorder="1" applyAlignment="1">
      <alignment horizontal="center" vertical="center"/>
    </xf>
    <xf numFmtId="0" fontId="212" fillId="11" borderId="120" xfId="0" applyFont="1" applyFill="1" applyBorder="1" applyAlignment="1">
      <alignment horizontal="center" vertical="center"/>
    </xf>
    <xf numFmtId="0" fontId="212" fillId="11" borderId="1" xfId="0" applyFont="1" applyFill="1" applyBorder="1" applyAlignment="1">
      <alignment horizontal="center" vertical="center"/>
    </xf>
    <xf numFmtId="168" fontId="212" fillId="11" borderId="1" xfId="0" quotePrefix="1" applyNumberFormat="1" applyFont="1" applyFill="1" applyBorder="1" applyAlignment="1">
      <alignment horizontal="center" vertical="center"/>
    </xf>
    <xf numFmtId="173" fontId="212" fillId="11" borderId="1" xfId="0" applyNumberFormat="1" applyFont="1" applyFill="1" applyBorder="1" applyAlignment="1">
      <alignment horizontal="center" vertical="center"/>
    </xf>
    <xf numFmtId="171" fontId="212" fillId="11" borderId="1" xfId="0" quotePrefix="1" applyNumberFormat="1" applyFont="1" applyFill="1" applyBorder="1" applyAlignment="1">
      <alignment horizontal="center" vertical="center"/>
    </xf>
    <xf numFmtId="0" fontId="212" fillId="11" borderId="9" xfId="0" applyNumberFormat="1" applyFont="1" applyFill="1" applyBorder="1" applyAlignment="1">
      <alignment horizontal="center" vertical="center" wrapText="1"/>
    </xf>
    <xf numFmtId="0" fontId="52" fillId="11" borderId="6" xfId="0" applyFont="1" applyFill="1" applyBorder="1" applyAlignment="1" applyProtection="1">
      <alignment vertical="center" wrapText="1"/>
    </xf>
    <xf numFmtId="0" fontId="52" fillId="11" borderId="9" xfId="0" applyFont="1" applyFill="1" applyBorder="1" applyAlignment="1" applyProtection="1">
      <alignment vertical="center" wrapText="1"/>
    </xf>
    <xf numFmtId="0" fontId="212" fillId="11" borderId="5" xfId="0" applyNumberFormat="1" applyFont="1" applyFill="1" applyBorder="1" applyAlignment="1">
      <alignment horizontal="center" vertical="center"/>
    </xf>
    <xf numFmtId="0" fontId="38" fillId="11" borderId="5" xfId="0" applyNumberFormat="1" applyFont="1" applyFill="1" applyBorder="1" applyAlignment="1">
      <alignment horizontal="center" vertical="center"/>
    </xf>
    <xf numFmtId="0" fontId="212" fillId="11" borderId="0" xfId="0" applyFont="1" applyFill="1" applyAlignment="1">
      <alignment horizontal="center" vertical="center"/>
    </xf>
    <xf numFmtId="0" fontId="50" fillId="11" borderId="0" xfId="0" applyFont="1" applyFill="1" applyAlignment="1">
      <alignment horizontal="center" vertical="center"/>
    </xf>
    <xf numFmtId="174" fontId="60" fillId="11" borderId="9" xfId="0" applyNumberFormat="1" applyFont="1" applyFill="1" applyBorder="1" applyAlignment="1" applyProtection="1">
      <alignment vertical="center" wrapText="1"/>
    </xf>
    <xf numFmtId="0" fontId="38" fillId="11" borderId="100" xfId="0" applyFont="1" applyFill="1" applyBorder="1" applyAlignment="1" applyProtection="1">
      <alignment vertical="center"/>
    </xf>
    <xf numFmtId="169" fontId="38" fillId="11" borderId="100" xfId="0" applyNumberFormat="1" applyFont="1" applyFill="1" applyBorder="1" applyAlignment="1">
      <alignment vertical="center" wrapText="1"/>
    </xf>
    <xf numFmtId="170" fontId="38" fillId="11" borderId="100" xfId="0" applyNumberFormat="1" applyFont="1" applyFill="1" applyBorder="1" applyAlignment="1" applyProtection="1">
      <alignment vertical="center"/>
      <protection locked="0"/>
    </xf>
    <xf numFmtId="169" fontId="38" fillId="11" borderId="100" xfId="0" applyNumberFormat="1" applyFont="1" applyFill="1" applyBorder="1" applyAlignment="1">
      <alignment vertical="center"/>
    </xf>
    <xf numFmtId="167" fontId="38" fillId="11" borderId="100" xfId="0" applyNumberFormat="1" applyFont="1" applyFill="1" applyBorder="1" applyAlignment="1" applyProtection="1">
      <alignment vertical="center"/>
      <protection locked="0"/>
    </xf>
    <xf numFmtId="0" fontId="38" fillId="11" borderId="9" xfId="0" applyFont="1" applyFill="1" applyBorder="1" applyAlignment="1" applyProtection="1">
      <alignment horizontal="center" vertical="center" wrapText="1"/>
    </xf>
    <xf numFmtId="169" fontId="38" fillId="11" borderId="139" xfId="0" applyNumberFormat="1" applyFont="1" applyFill="1" applyBorder="1" applyAlignment="1">
      <alignment vertical="center" wrapText="1"/>
    </xf>
    <xf numFmtId="169" fontId="38" fillId="11" borderId="140" xfId="0" applyNumberFormat="1" applyFont="1" applyFill="1" applyBorder="1" applyAlignment="1">
      <alignment vertical="center" wrapText="1"/>
    </xf>
    <xf numFmtId="171" fontId="38" fillId="11" borderId="1" xfId="0" applyNumberFormat="1" applyFont="1" applyFill="1" applyBorder="1" applyAlignment="1">
      <alignment vertical="center"/>
    </xf>
    <xf numFmtId="171" fontId="38" fillId="11" borderId="6" xfId="0" applyNumberFormat="1" applyFont="1" applyFill="1" applyBorder="1" applyAlignment="1">
      <alignment vertical="center"/>
    </xf>
    <xf numFmtId="170" fontId="38" fillId="11" borderId="1" xfId="0" applyNumberFormat="1" applyFont="1" applyFill="1" applyBorder="1" applyAlignment="1" applyProtection="1">
      <alignment vertical="center"/>
      <protection locked="0"/>
    </xf>
    <xf numFmtId="170" fontId="38" fillId="11" borderId="6" xfId="0" applyNumberFormat="1" applyFont="1" applyFill="1" applyBorder="1" applyAlignment="1" applyProtection="1">
      <alignment vertical="center"/>
      <protection locked="0"/>
    </xf>
    <xf numFmtId="167" fontId="38" fillId="11" borderId="14" xfId="0" applyNumberFormat="1" applyFont="1" applyFill="1" applyBorder="1" applyAlignment="1" applyProtection="1">
      <alignment vertical="center"/>
      <protection locked="0"/>
    </xf>
    <xf numFmtId="41" fontId="38" fillId="11" borderId="2" xfId="0" applyNumberFormat="1" applyFont="1" applyFill="1" applyBorder="1" applyAlignment="1" applyProtection="1">
      <alignment horizontal="center" vertical="center" wrapText="1"/>
    </xf>
    <xf numFmtId="41" fontId="38" fillId="11" borderId="1" xfId="0" applyNumberFormat="1" applyFont="1" applyFill="1" applyBorder="1" applyAlignment="1" applyProtection="1">
      <alignment horizontal="center" vertical="center" wrapText="1"/>
    </xf>
    <xf numFmtId="187" fontId="38" fillId="11" borderId="106" xfId="0" applyNumberFormat="1" applyFont="1" applyFill="1" applyBorder="1" applyAlignment="1" applyProtection="1">
      <alignment vertical="center" wrapText="1"/>
    </xf>
    <xf numFmtId="169" fontId="38" fillId="11" borderId="1" xfId="0" applyNumberFormat="1" applyFont="1" applyFill="1" applyBorder="1" applyAlignment="1">
      <alignment horizontal="center" vertical="center"/>
    </xf>
    <xf numFmtId="0" fontId="38" fillId="11" borderId="13" xfId="0" applyFont="1" applyFill="1" applyBorder="1" applyAlignment="1" applyProtection="1">
      <alignment horizontal="center" vertical="center"/>
    </xf>
    <xf numFmtId="0" fontId="38" fillId="11" borderId="6" xfId="0" applyFont="1" applyFill="1" applyBorder="1" applyAlignment="1" applyProtection="1">
      <alignment vertical="center"/>
    </xf>
    <xf numFmtId="41" fontId="38" fillId="11" borderId="0" xfId="0" applyNumberFormat="1" applyFont="1" applyFill="1" applyAlignment="1" applyProtection="1">
      <alignment horizontal="center" vertical="center"/>
    </xf>
    <xf numFmtId="41" fontId="38" fillId="11" borderId="1" xfId="0" applyNumberFormat="1" applyFont="1" applyFill="1" applyBorder="1" applyAlignment="1" applyProtection="1">
      <alignment horizontal="center" vertical="center"/>
    </xf>
    <xf numFmtId="41" fontId="38" fillId="11" borderId="5" xfId="0" applyNumberFormat="1" applyFont="1" applyFill="1" applyBorder="1" applyAlignment="1" applyProtection="1">
      <alignment vertical="center" wrapText="1"/>
      <protection locked="0"/>
    </xf>
    <xf numFmtId="187" fontId="38" fillId="11" borderId="9" xfId="0" applyNumberFormat="1" applyFont="1" applyFill="1" applyBorder="1" applyAlignment="1" applyProtection="1">
      <alignment vertical="center" wrapText="1"/>
    </xf>
    <xf numFmtId="41" fontId="38" fillId="11" borderId="0" xfId="0" applyNumberFormat="1" applyFont="1" applyFill="1" applyAlignment="1">
      <alignment horizontal="center" vertical="center"/>
    </xf>
    <xf numFmtId="169" fontId="38" fillId="11" borderId="134" xfId="0" applyNumberFormat="1" applyFont="1" applyFill="1" applyBorder="1" applyAlignment="1">
      <alignment vertical="center" wrapText="1"/>
    </xf>
    <xf numFmtId="0" fontId="38" fillId="11" borderId="84" xfId="0" applyFont="1" applyFill="1" applyBorder="1" applyAlignment="1" applyProtection="1">
      <alignment horizontal="centerContinuous" vertical="center" wrapText="1"/>
    </xf>
    <xf numFmtId="0" fontId="38" fillId="11" borderId="1" xfId="0" applyNumberFormat="1" applyFont="1" applyFill="1" applyBorder="1" applyAlignment="1" applyProtection="1">
      <alignment vertical="center"/>
    </xf>
    <xf numFmtId="41" fontId="38" fillId="11" borderId="10" xfId="0" applyNumberFormat="1" applyFont="1" applyFill="1" applyBorder="1" applyAlignment="1" applyProtection="1">
      <alignment horizontal="center" vertical="center" wrapText="1"/>
    </xf>
    <xf numFmtId="171" fontId="38" fillId="11" borderId="167" xfId="0" applyNumberFormat="1" applyFont="1" applyFill="1" applyBorder="1" applyAlignment="1">
      <alignment vertical="center"/>
    </xf>
    <xf numFmtId="187" fontId="38" fillId="11" borderId="46" xfId="0" applyNumberFormat="1" applyFont="1" applyFill="1" applyBorder="1" applyAlignment="1" applyProtection="1">
      <alignment vertical="center" wrapText="1"/>
    </xf>
    <xf numFmtId="41" fontId="38" fillId="11" borderId="10" xfId="0" applyNumberFormat="1" applyFont="1" applyFill="1" applyBorder="1" applyAlignment="1" applyProtection="1">
      <alignment horizontal="center" vertical="center" wrapText="1"/>
      <protection locked="0"/>
    </xf>
    <xf numFmtId="41" fontId="38" fillId="11" borderId="1" xfId="0" applyNumberFormat="1" applyFont="1" applyFill="1" applyBorder="1" applyAlignment="1" applyProtection="1">
      <alignment horizontal="center" vertical="center" wrapText="1"/>
      <protection locked="0"/>
    </xf>
    <xf numFmtId="0" fontId="38" fillId="11" borderId="0" xfId="0" applyFont="1" applyFill="1" applyBorder="1" applyAlignment="1" applyProtection="1">
      <alignment horizontal="center" vertical="center" wrapText="1"/>
      <protection locked="0"/>
    </xf>
    <xf numFmtId="171" fontId="38" fillId="11" borderId="5" xfId="0" applyNumberFormat="1" applyFont="1" applyFill="1" applyBorder="1" applyAlignment="1" applyProtection="1">
      <alignment vertical="center"/>
      <protection locked="0"/>
    </xf>
    <xf numFmtId="173" fontId="38" fillId="11" borderId="100" xfId="7" applyNumberFormat="1" applyFont="1" applyFill="1" applyBorder="1" applyAlignment="1" applyProtection="1">
      <alignment horizontal="center" vertical="center"/>
    </xf>
    <xf numFmtId="0" fontId="24" fillId="0" borderId="1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170" fontId="32" fillId="0" borderId="86" xfId="0" applyNumberFormat="1" applyFont="1" applyFill="1" applyBorder="1" applyAlignment="1" applyProtection="1">
      <alignment horizontal="center" vertical="center"/>
      <protection locked="0"/>
    </xf>
    <xf numFmtId="0" fontId="11" fillId="0" borderId="86" xfId="0" applyFont="1" applyFill="1" applyBorder="1" applyAlignment="1" applyProtection="1">
      <alignment horizontal="center" vertical="center"/>
    </xf>
    <xf numFmtId="0" fontId="10" fillId="0" borderId="87" xfId="0" applyFont="1" applyFill="1" applyBorder="1" applyAlignment="1" applyProtection="1">
      <alignment horizontal="center" vertical="center" wrapText="1"/>
    </xf>
    <xf numFmtId="0" fontId="10" fillId="0" borderId="69" xfId="0"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10"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10" fillId="0" borderId="214" xfId="0" applyFont="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13"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65" fillId="0" borderId="0" xfId="0" applyFont="1" applyBorder="1" applyAlignment="1" applyProtection="1">
      <alignment horizontal="center" vertical="center" wrapText="1"/>
    </xf>
    <xf numFmtId="0" fontId="76" fillId="0" borderId="215" xfId="0" applyFont="1" applyFill="1" applyBorder="1" applyAlignment="1" applyProtection="1">
      <alignment horizontal="center" vertical="center"/>
    </xf>
    <xf numFmtId="176" fontId="51" fillId="0" borderId="216"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76" fillId="0" borderId="87" xfId="0" applyFont="1" applyFill="1" applyBorder="1" applyAlignment="1" applyProtection="1">
      <alignment horizontal="center" vertical="center"/>
    </xf>
    <xf numFmtId="179" fontId="141" fillId="0" borderId="7" xfId="0" applyNumberFormat="1" applyFont="1" applyFill="1" applyBorder="1" applyAlignment="1" applyProtection="1">
      <alignment horizontal="center" vertical="center"/>
      <protection locked="0"/>
    </xf>
    <xf numFmtId="14" fontId="38" fillId="51" borderId="5" xfId="0" applyNumberFormat="1" applyFont="1" applyFill="1" applyBorder="1" applyAlignment="1" applyProtection="1">
      <alignment vertical="center"/>
    </xf>
    <xf numFmtId="14" fontId="38" fillId="51" borderId="9" xfId="0" applyNumberFormat="1" applyFont="1" applyFill="1" applyBorder="1" applyAlignment="1" applyProtection="1">
      <alignment vertical="center"/>
    </xf>
    <xf numFmtId="0" fontId="38" fillId="51" borderId="9" xfId="0" applyFont="1" applyFill="1" applyBorder="1" applyAlignment="1" applyProtection="1">
      <alignment vertical="center" wrapText="1"/>
    </xf>
    <xf numFmtId="0" fontId="50" fillId="51" borderId="9" xfId="0" applyFont="1" applyFill="1" applyBorder="1" applyAlignment="1" applyProtection="1">
      <alignment vertical="center" wrapText="1"/>
    </xf>
    <xf numFmtId="181" fontId="141" fillId="51" borderId="69" xfId="0" applyNumberFormat="1" applyFont="1" applyFill="1" applyBorder="1" applyAlignment="1" applyProtection="1">
      <alignment horizontal="center" vertical="center"/>
      <protection locked="0"/>
    </xf>
    <xf numFmtId="174" fontId="50" fillId="51" borderId="5" xfId="0" applyNumberFormat="1" applyFont="1" applyFill="1" applyBorder="1" applyAlignment="1" applyProtection="1">
      <alignment vertical="center" wrapText="1"/>
    </xf>
    <xf numFmtId="174" fontId="38" fillId="51" borderId="9" xfId="0" applyNumberFormat="1" applyFont="1" applyFill="1" applyBorder="1" applyAlignment="1" applyProtection="1">
      <alignment vertical="center" wrapText="1"/>
    </xf>
    <xf numFmtId="179" fontId="40" fillId="51" borderId="7" xfId="0" applyNumberFormat="1" applyFont="1" applyFill="1" applyBorder="1" applyAlignment="1" applyProtection="1">
      <alignment horizontal="left" vertical="center"/>
      <protection locked="0"/>
    </xf>
    <xf numFmtId="174" fontId="95" fillId="51" borderId="9" xfId="0" applyNumberFormat="1" applyFont="1" applyFill="1" applyBorder="1" applyAlignment="1" applyProtection="1">
      <alignment vertical="center" wrapText="1"/>
    </xf>
    <xf numFmtId="0" fontId="38" fillId="51" borderId="0" xfId="0" applyFont="1" applyFill="1" applyAlignment="1">
      <alignment horizontal="center" vertical="center"/>
    </xf>
    <xf numFmtId="0" fontId="38" fillId="51" borderId="9" xfId="0" applyFont="1" applyFill="1" applyBorder="1" applyAlignment="1">
      <alignment horizontal="center" vertical="center"/>
    </xf>
    <xf numFmtId="0" fontId="38" fillId="51" borderId="6" xfId="0" applyFont="1" applyFill="1" applyBorder="1" applyAlignment="1">
      <alignment horizontal="center" vertical="center"/>
    </xf>
    <xf numFmtId="14" fontId="38" fillId="51" borderId="5" xfId="0" applyNumberFormat="1" applyFont="1" applyFill="1" applyBorder="1" applyAlignment="1" applyProtection="1">
      <alignment horizontal="left" vertical="center"/>
    </xf>
    <xf numFmtId="0" fontId="239" fillId="51" borderId="9" xfId="0" applyFont="1" applyFill="1" applyBorder="1" applyAlignment="1" applyProtection="1">
      <alignment vertical="center" wrapText="1"/>
    </xf>
    <xf numFmtId="174" fontId="212" fillId="51" borderId="9" xfId="0" applyNumberFormat="1" applyFont="1" applyFill="1" applyBorder="1" applyAlignment="1" applyProtection="1">
      <alignment vertical="center" wrapText="1"/>
    </xf>
    <xf numFmtId="181" fontId="141" fillId="51" borderId="69" xfId="0" applyNumberFormat="1" applyFont="1" applyFill="1" applyBorder="1" applyAlignment="1" applyProtection="1">
      <alignment horizontal="left" vertical="center"/>
      <protection locked="0"/>
    </xf>
    <xf numFmtId="174" fontId="231" fillId="51" borderId="9" xfId="0" applyNumberFormat="1" applyFont="1" applyFill="1" applyBorder="1" applyAlignment="1" applyProtection="1">
      <alignment vertical="center" wrapText="1"/>
    </xf>
    <xf numFmtId="174" fontId="51" fillId="51" borderId="9" xfId="0" applyNumberFormat="1" applyFont="1" applyFill="1" applyBorder="1" applyAlignment="1" applyProtection="1">
      <alignment vertical="center" wrapText="1"/>
    </xf>
    <xf numFmtId="174" fontId="60" fillId="51" borderId="9" xfId="0" applyNumberFormat="1" applyFont="1" applyFill="1" applyBorder="1" applyAlignment="1" applyProtection="1">
      <alignment vertical="center"/>
    </xf>
    <xf numFmtId="0" fontId="51" fillId="51" borderId="9" xfId="0" applyFont="1" applyFill="1" applyBorder="1" applyAlignment="1">
      <alignment horizontal="center" vertical="center"/>
    </xf>
    <xf numFmtId="0" fontId="18" fillId="11" borderId="0" xfId="0" applyFont="1" applyFill="1" applyAlignment="1">
      <alignment horizontal="left" vertical="center" wrapText="1"/>
    </xf>
    <xf numFmtId="20" fontId="38" fillId="0" borderId="0" xfId="0" quotePrefix="1" applyNumberFormat="1" applyFont="1" applyFill="1" applyBorder="1" applyAlignment="1" applyProtection="1">
      <alignment vertical="center"/>
    </xf>
    <xf numFmtId="180" fontId="38" fillId="40" borderId="0" xfId="0" applyNumberFormat="1" applyFont="1" applyFill="1" applyAlignment="1">
      <alignment horizontal="center" vertical="center"/>
    </xf>
    <xf numFmtId="20" fontId="38" fillId="0" borderId="0" xfId="0" applyNumberFormat="1" applyFont="1" applyFill="1" applyAlignment="1">
      <alignment horizontal="center" vertical="center"/>
    </xf>
    <xf numFmtId="0" fontId="38" fillId="40" borderId="0" xfId="0" applyFont="1" applyFill="1" applyAlignment="1">
      <alignment horizontal="center" vertical="center"/>
    </xf>
    <xf numFmtId="181" fontId="245" fillId="0" borderId="0" xfId="0" applyNumberFormat="1" applyFont="1" applyFill="1" applyBorder="1" applyAlignment="1" applyProtection="1">
      <alignment horizontal="centerContinuous" vertical="center"/>
    </xf>
    <xf numFmtId="193" fontId="245" fillId="0" borderId="0" xfId="0" applyNumberFormat="1" applyFont="1" applyFill="1" applyBorder="1" applyAlignment="1" applyProtection="1">
      <alignment horizontal="centerContinuous" vertical="center"/>
    </xf>
    <xf numFmtId="0" fontId="62" fillId="0" borderId="0" xfId="0" applyFont="1" applyFill="1" applyBorder="1" applyAlignment="1" applyProtection="1">
      <alignment horizontal="centerContinuous" vertical="center"/>
    </xf>
    <xf numFmtId="0" fontId="62" fillId="0" borderId="0" xfId="0" applyFont="1" applyFill="1" applyAlignment="1">
      <alignment horizontal="centerContinuous" vertical="center"/>
    </xf>
    <xf numFmtId="20" fontId="38" fillId="0" borderId="0" xfId="0" quotePrefix="1" applyNumberFormat="1" applyFont="1" applyFill="1" applyBorder="1" applyAlignment="1" applyProtection="1">
      <alignment horizontal="centerContinuous" vertical="center"/>
    </xf>
    <xf numFmtId="166" fontId="38" fillId="7" borderId="0" xfId="0" applyNumberFormat="1" applyFont="1" applyFill="1" applyBorder="1" applyAlignment="1">
      <alignment horizontal="centerContinuous" vertical="center"/>
    </xf>
    <xf numFmtId="166" fontId="38" fillId="7" borderId="0" xfId="0" applyNumberFormat="1" applyFont="1" applyFill="1" applyBorder="1" applyAlignment="1" applyProtection="1">
      <alignment horizontal="centerContinuous" vertical="center"/>
      <protection locked="0"/>
    </xf>
    <xf numFmtId="173" fontId="50" fillId="0" borderId="12" xfId="7" applyNumberFormat="1" applyFont="1" applyFill="1" applyBorder="1" applyAlignment="1" applyProtection="1">
      <alignment horizontal="center" vertical="center" wrapText="1"/>
    </xf>
    <xf numFmtId="10" fontId="55" fillId="5" borderId="6" xfId="7" applyNumberFormat="1" applyFont="1" applyFill="1" applyBorder="1" applyAlignment="1" applyProtection="1">
      <alignment horizontal="center" vertical="center"/>
    </xf>
    <xf numFmtId="10" fontId="38" fillId="38" borderId="6" xfId="0" applyNumberFormat="1" applyFont="1" applyFill="1" applyBorder="1" applyAlignment="1" applyProtection="1">
      <alignment horizontal="left" vertical="center"/>
      <protection locked="0"/>
    </xf>
    <xf numFmtId="10" fontId="38" fillId="38" borderId="6" xfId="0" applyNumberFormat="1" applyFont="1" applyFill="1" applyBorder="1" applyAlignment="1" applyProtection="1">
      <alignment horizontal="center" vertical="center"/>
      <protection locked="0"/>
    </xf>
    <xf numFmtId="10" fontId="38" fillId="38" borderId="101" xfId="0" applyNumberFormat="1" applyFont="1" applyFill="1" applyBorder="1" applyAlignment="1" applyProtection="1">
      <alignment horizontal="center" vertical="center"/>
      <protection locked="0"/>
    </xf>
    <xf numFmtId="181" fontId="98" fillId="38" borderId="5" xfId="0" applyNumberFormat="1" applyFont="1" applyFill="1" applyBorder="1" applyAlignment="1" applyProtection="1">
      <alignment horizontal="right" vertical="center"/>
      <protection locked="0"/>
    </xf>
    <xf numFmtId="14" fontId="18" fillId="38" borderId="6" xfId="8" applyNumberFormat="1" applyFont="1" applyFill="1" applyBorder="1" applyAlignment="1" applyProtection="1">
      <alignment vertical="center"/>
      <protection locked="0"/>
    </xf>
    <xf numFmtId="177" fontId="38" fillId="38" borderId="101" xfId="1" applyNumberFormat="1" applyFont="1" applyFill="1" applyBorder="1" applyAlignment="1" applyProtection="1">
      <alignment horizontal="center" vertical="center"/>
      <protection locked="0"/>
    </xf>
    <xf numFmtId="14" fontId="38" fillId="38" borderId="122" xfId="8" applyNumberFormat="1" applyFont="1" applyFill="1" applyBorder="1" applyAlignment="1" applyProtection="1">
      <alignment horizontal="center" vertical="center"/>
      <protection locked="0"/>
    </xf>
    <xf numFmtId="16" fontId="104" fillId="38" borderId="122" xfId="0" applyNumberFormat="1" applyFont="1" applyFill="1" applyBorder="1" applyAlignment="1" applyProtection="1">
      <alignment horizontal="center" vertical="center" wrapText="1"/>
      <protection locked="0"/>
    </xf>
    <xf numFmtId="16" fontId="105" fillId="38" borderId="122" xfId="0" applyNumberFormat="1" applyFont="1" applyFill="1" applyBorder="1" applyAlignment="1" applyProtection="1">
      <alignment horizontal="center" vertical="center" wrapText="1"/>
      <protection locked="0"/>
    </xf>
    <xf numFmtId="0" fontId="55" fillId="38" borderId="122" xfId="0" applyFont="1" applyFill="1" applyBorder="1" applyAlignment="1" applyProtection="1">
      <alignment horizontal="center" vertical="center" wrapText="1"/>
      <protection locked="0"/>
    </xf>
    <xf numFmtId="0" fontId="24" fillId="0" borderId="86" xfId="0" applyFont="1" applyFill="1" applyBorder="1" applyAlignment="1" applyProtection="1">
      <alignment horizontal="center" vertical="center" wrapText="1"/>
      <protection locked="0"/>
    </xf>
    <xf numFmtId="170" fontId="25" fillId="13" borderId="0" xfId="0" quotePrefix="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24" fillId="0" borderId="9"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246" fillId="0" borderId="0" xfId="0" applyFont="1" applyFill="1" applyBorder="1" applyAlignment="1" applyProtection="1">
      <alignment vertical="center" wrapText="1"/>
      <protection locked="0"/>
    </xf>
    <xf numFmtId="0" fontId="246" fillId="0" borderId="11" xfId="0" applyFont="1" applyFill="1" applyBorder="1" applyAlignment="1" applyProtection="1">
      <alignment vertical="center" wrapText="1"/>
      <protection locked="0"/>
    </xf>
    <xf numFmtId="169" fontId="246" fillId="0" borderId="0" xfId="0" applyNumberFormat="1" applyFont="1" applyFill="1" applyBorder="1" applyAlignment="1">
      <alignment horizontal="center" vertical="center"/>
    </xf>
    <xf numFmtId="0" fontId="146" fillId="13" borderId="5" xfId="0" applyFont="1" applyFill="1" applyBorder="1" applyAlignment="1">
      <alignment horizontal="left" vertical="center"/>
    </xf>
    <xf numFmtId="0" fontId="146" fillId="13" borderId="9" xfId="0" applyFont="1" applyFill="1" applyBorder="1" applyAlignment="1">
      <alignment horizontal="left" vertical="center"/>
    </xf>
    <xf numFmtId="0" fontId="146" fillId="13" borderId="6" xfId="0" applyFont="1" applyFill="1" applyBorder="1" applyAlignment="1">
      <alignment horizontal="left" vertical="center"/>
    </xf>
    <xf numFmtId="0" fontId="50" fillId="0" borderId="69" xfId="0" quotePrefix="1"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xf>
    <xf numFmtId="0" fontId="38" fillId="4" borderId="16" xfId="0" applyFont="1" applyFill="1" applyBorder="1" applyAlignment="1" applyProtection="1">
      <alignment horizontal="centerContinuous" vertical="center"/>
    </xf>
    <xf numFmtId="0" fontId="65" fillId="13" borderId="5" xfId="0" applyFont="1" applyFill="1" applyBorder="1" applyAlignment="1">
      <alignment horizontal="left" vertical="center"/>
    </xf>
    <xf numFmtId="0" fontId="246" fillId="0" borderId="0" xfId="0" quotePrefix="1" applyFont="1" applyFill="1" applyBorder="1" applyAlignment="1" applyProtection="1">
      <alignment vertical="center"/>
    </xf>
    <xf numFmtId="0" fontId="10" fillId="0" borderId="5" xfId="0" applyNumberFormat="1" applyFont="1" applyFill="1" applyBorder="1" applyAlignment="1" applyProtection="1">
      <alignment horizontal="center" vertical="center"/>
      <protection locked="0"/>
    </xf>
    <xf numFmtId="0" fontId="10" fillId="0" borderId="46" xfId="8" applyFont="1" applyFill="1" applyBorder="1" applyAlignment="1">
      <alignment horizontal="center" vertical="center"/>
    </xf>
    <xf numFmtId="0" fontId="73" fillId="4" borderId="9" xfId="0" applyFont="1" applyFill="1" applyBorder="1" applyAlignment="1">
      <alignment horizontal="centerContinuous" vertical="center"/>
    </xf>
    <xf numFmtId="0" fontId="71" fillId="4" borderId="9" xfId="0" applyFont="1" applyFill="1" applyBorder="1" applyAlignment="1">
      <alignment horizontal="centerContinuous" vertical="center"/>
    </xf>
    <xf numFmtId="0" fontId="71" fillId="4" borderId="5" xfId="0" applyFont="1" applyFill="1" applyBorder="1" applyAlignment="1">
      <alignment horizontal="centerContinuous" vertical="center" wrapText="1"/>
    </xf>
    <xf numFmtId="0" fontId="71" fillId="4" borderId="9" xfId="0" applyFont="1" applyFill="1" applyBorder="1" applyAlignment="1">
      <alignment horizontal="centerContinuous" vertical="center" wrapText="1"/>
    </xf>
    <xf numFmtId="0" fontId="71" fillId="4" borderId="6" xfId="0" applyFont="1" applyFill="1" applyBorder="1" applyAlignment="1">
      <alignment horizontal="centerContinuous" vertical="center" wrapText="1"/>
    </xf>
    <xf numFmtId="0" fontId="50" fillId="0" borderId="1" xfId="0" applyFont="1" applyFill="1" applyBorder="1" applyAlignment="1">
      <alignment vertical="center" wrapText="1"/>
    </xf>
    <xf numFmtId="0" fontId="99" fillId="0" borderId="1" xfId="84" applyFill="1" applyBorder="1" applyAlignment="1" applyProtection="1">
      <alignment vertical="center" wrapText="1"/>
    </xf>
    <xf numFmtId="175" fontId="248" fillId="5" borderId="1" xfId="0" applyNumberFormat="1" applyFont="1" applyFill="1" applyBorder="1" applyAlignment="1" applyProtection="1">
      <alignment horizontal="center" vertical="center"/>
      <protection locked="0"/>
    </xf>
    <xf numFmtId="0" fontId="116" fillId="0" borderId="1" xfId="0" applyFont="1" applyBorder="1" applyAlignment="1" applyProtection="1">
      <alignment horizontal="center" vertical="center"/>
      <protection locked="0"/>
    </xf>
    <xf numFmtId="0" fontId="116" fillId="0" borderId="1" xfId="0" applyFont="1" applyFill="1" applyBorder="1" applyAlignment="1" applyProtection="1">
      <alignment horizontal="center" vertical="center"/>
      <protection locked="0"/>
    </xf>
    <xf numFmtId="20" fontId="116" fillId="0" borderId="1" xfId="0" applyNumberFormat="1" applyFont="1" applyBorder="1" applyAlignment="1" applyProtection="1">
      <alignment horizontal="center" vertical="center"/>
      <protection locked="0"/>
    </xf>
    <xf numFmtId="0" fontId="116" fillId="0" borderId="11" xfId="0" applyFont="1" applyBorder="1" applyAlignment="1" applyProtection="1">
      <alignment horizontal="center" vertical="center"/>
      <protection locked="0"/>
    </xf>
    <xf numFmtId="20" fontId="116" fillId="0" borderId="0" xfId="0" applyNumberFormat="1" applyFont="1" applyBorder="1" applyAlignment="1" applyProtection="1">
      <alignment horizontal="center" vertical="center"/>
      <protection locked="0"/>
    </xf>
    <xf numFmtId="0" fontId="116" fillId="0" borderId="0" xfId="0" applyFont="1" applyFill="1" applyBorder="1" applyAlignment="1" applyProtection="1">
      <alignment horizontal="left" vertical="center"/>
      <protection locked="0"/>
    </xf>
    <xf numFmtId="0" fontId="116" fillId="0" borderId="0" xfId="0" applyFont="1" applyFill="1" applyBorder="1" applyAlignment="1" applyProtection="1">
      <alignment horizontal="center" vertical="center"/>
      <protection locked="0"/>
    </xf>
    <xf numFmtId="20" fontId="116" fillId="0" borderId="16" xfId="0" applyNumberFormat="1" applyFont="1" applyBorder="1" applyAlignment="1" applyProtection="1">
      <alignment horizontal="center" vertical="center"/>
      <protection locked="0"/>
    </xf>
    <xf numFmtId="0" fontId="116" fillId="0" borderId="87" xfId="0" applyFont="1" applyBorder="1" applyAlignment="1" applyProtection="1">
      <alignment horizontal="center" vertical="center"/>
      <protection locked="0"/>
    </xf>
    <xf numFmtId="20" fontId="116" fillId="0" borderId="69" xfId="0" applyNumberFormat="1" applyFont="1" applyBorder="1" applyAlignment="1" applyProtection="1">
      <alignment horizontal="center" vertical="center"/>
      <protection locked="0"/>
    </xf>
    <xf numFmtId="0" fontId="116" fillId="0" borderId="69" xfId="0" applyFont="1" applyBorder="1" applyAlignment="1" applyProtection="1">
      <alignment horizontal="left" vertical="center"/>
      <protection locked="0"/>
    </xf>
    <xf numFmtId="0" fontId="116" fillId="0" borderId="69" xfId="0" applyFont="1" applyFill="1" applyBorder="1" applyAlignment="1" applyProtection="1">
      <alignment horizontal="center" vertical="center"/>
      <protection locked="0"/>
    </xf>
    <xf numFmtId="20" fontId="116" fillId="0" borderId="70" xfId="0" applyNumberFormat="1" applyFont="1" applyBorder="1" applyAlignment="1" applyProtection="1">
      <alignment horizontal="center" vertical="center"/>
      <protection locked="0"/>
    </xf>
    <xf numFmtId="0" fontId="219" fillId="60" borderId="1" xfId="0" applyFont="1" applyFill="1" applyBorder="1" applyAlignment="1">
      <alignment horizontal="center" vertical="center"/>
    </xf>
    <xf numFmtId="0" fontId="38" fillId="14" borderId="8" xfId="0" applyFont="1" applyFill="1" applyBorder="1" applyAlignment="1">
      <alignment horizontal="center" vertical="center"/>
    </xf>
    <xf numFmtId="0" fontId="38" fillId="14" borderId="9" xfId="0" applyFont="1" applyFill="1" applyBorder="1" applyAlignment="1">
      <alignment horizontal="center" vertical="center"/>
    </xf>
    <xf numFmtId="0" fontId="38" fillId="14" borderId="8" xfId="0" applyFont="1" applyFill="1" applyBorder="1" applyAlignment="1">
      <alignment horizontal="left" vertical="center"/>
    </xf>
    <xf numFmtId="0" fontId="38" fillId="14" borderId="218" xfId="0" applyFont="1" applyFill="1" applyBorder="1" applyAlignment="1">
      <alignment horizontal="center" vertical="center" wrapText="1"/>
    </xf>
    <xf numFmtId="0" fontId="38" fillId="14" borderId="219" xfId="0" applyFont="1" applyFill="1" applyBorder="1" applyAlignment="1">
      <alignment horizontal="center" vertical="center"/>
    </xf>
    <xf numFmtId="0" fontId="50" fillId="0" borderId="219" xfId="0" applyNumberFormat="1" applyFont="1" applyFill="1" applyBorder="1" applyAlignment="1" applyProtection="1">
      <alignment horizontal="center" vertical="center" wrapText="1"/>
    </xf>
    <xf numFmtId="0" fontId="38" fillId="0" borderId="220" xfId="0" applyNumberFormat="1" applyFont="1" applyFill="1" applyBorder="1" applyAlignment="1" applyProtection="1">
      <alignment horizontal="center" vertical="center" wrapText="1"/>
    </xf>
    <xf numFmtId="0" fontId="50" fillId="0" borderId="219" xfId="0" applyFont="1" applyFill="1" applyBorder="1" applyAlignment="1">
      <alignment horizontal="center" vertical="center"/>
    </xf>
    <xf numFmtId="0" fontId="38" fillId="14" borderId="217" xfId="0" applyFont="1" applyFill="1" applyBorder="1" applyAlignment="1">
      <alignment horizontal="center" vertical="center" wrapText="1"/>
    </xf>
    <xf numFmtId="170" fontId="38" fillId="0" borderId="162" xfId="0" applyNumberFormat="1" applyFont="1" applyFill="1" applyBorder="1" applyAlignment="1" applyProtection="1">
      <alignment vertical="center"/>
      <protection locked="0"/>
    </xf>
    <xf numFmtId="0" fontId="24" fillId="0" borderId="153" xfId="0" applyFont="1" applyFill="1" applyBorder="1" applyAlignment="1" applyProtection="1">
      <alignment vertical="center" wrapText="1"/>
    </xf>
    <xf numFmtId="169" fontId="38" fillId="11" borderId="163" xfId="0" applyNumberFormat="1" applyFont="1" applyFill="1" applyBorder="1" applyAlignment="1">
      <alignment horizontal="center" vertical="center"/>
    </xf>
    <xf numFmtId="166" fontId="38" fillId="0" borderId="163" xfId="0" applyNumberFormat="1" applyFont="1" applyFill="1" applyBorder="1" applyAlignment="1">
      <alignment horizontal="center" vertical="center"/>
    </xf>
    <xf numFmtId="168" fontId="38" fillId="0" borderId="163" xfId="0" applyNumberFormat="1" applyFont="1" applyFill="1" applyBorder="1" applyAlignment="1" applyProtection="1">
      <alignment horizontal="center" vertical="center"/>
    </xf>
    <xf numFmtId="168" fontId="51" fillId="11" borderId="163" xfId="0" applyNumberFormat="1" applyFont="1" applyFill="1" applyBorder="1" applyAlignment="1" applyProtection="1">
      <alignment horizontal="center" vertical="center"/>
    </xf>
    <xf numFmtId="168" fontId="38" fillId="0" borderId="164" xfId="0" applyNumberFormat="1" applyFont="1" applyFill="1" applyBorder="1" applyAlignment="1">
      <alignment horizontal="center" vertical="center"/>
    </xf>
    <xf numFmtId="170" fontId="38" fillId="11" borderId="150" xfId="0" applyNumberFormat="1" applyFont="1" applyFill="1" applyBorder="1" applyAlignment="1" applyProtection="1">
      <alignment vertical="center"/>
      <protection locked="0"/>
    </xf>
    <xf numFmtId="170" fontId="38" fillId="11" borderId="154" xfId="0" applyNumberFormat="1" applyFont="1" applyFill="1" applyBorder="1" applyAlignment="1" applyProtection="1">
      <alignment vertical="center"/>
      <protection locked="0"/>
    </xf>
    <xf numFmtId="170" fontId="38" fillId="11" borderId="152" xfId="0" applyNumberFormat="1" applyFont="1" applyFill="1" applyBorder="1" applyAlignment="1" applyProtection="1">
      <alignment horizontal="center" vertical="center"/>
      <protection locked="0"/>
    </xf>
    <xf numFmtId="170" fontId="38" fillId="11" borderId="151" xfId="0" applyNumberFormat="1" applyFont="1" applyFill="1" applyBorder="1" applyAlignment="1" applyProtection="1">
      <alignment horizontal="center" vertical="center"/>
      <protection locked="0"/>
    </xf>
    <xf numFmtId="0" fontId="24" fillId="0" borderId="83" xfId="0" applyFont="1" applyFill="1" applyBorder="1" applyAlignment="1" applyProtection="1">
      <alignment horizontal="center" vertical="center" wrapText="1"/>
    </xf>
    <xf numFmtId="169" fontId="38" fillId="11" borderId="140" xfId="0" applyNumberFormat="1" applyFont="1" applyFill="1" applyBorder="1" applyAlignment="1">
      <alignment horizontal="center" vertical="center" wrapText="1"/>
    </xf>
    <xf numFmtId="167" fontId="38" fillId="0" borderId="84" xfId="0" applyNumberFormat="1" applyFont="1" applyFill="1" applyBorder="1" applyAlignment="1">
      <alignment horizontal="center" vertical="center"/>
    </xf>
    <xf numFmtId="177" fontId="51" fillId="0" borderId="84" xfId="0" applyNumberFormat="1" applyFont="1" applyFill="1" applyBorder="1" applyAlignment="1" applyProtection="1">
      <alignment horizontal="center" vertical="center" shrinkToFit="1"/>
    </xf>
    <xf numFmtId="0" fontId="24" fillId="0" borderId="1"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177" fontId="38" fillId="0" borderId="84" xfId="0" applyNumberFormat="1" applyFont="1" applyFill="1" applyBorder="1" applyAlignment="1" applyProtection="1">
      <alignment horizontal="center" vertical="center"/>
    </xf>
    <xf numFmtId="168" fontId="38" fillId="0" borderId="221" xfId="0" applyNumberFormat="1" applyFont="1" applyFill="1" applyBorder="1" applyAlignment="1">
      <alignment horizontal="center" vertical="center"/>
    </xf>
    <xf numFmtId="0" fontId="10" fillId="14" borderId="1" xfId="0" applyFont="1" applyFill="1" applyBorder="1" applyAlignment="1" applyProtection="1">
      <alignment horizontal="center" vertical="center"/>
    </xf>
    <xf numFmtId="0" fontId="10" fillId="14" borderId="86" xfId="0" applyFont="1" applyFill="1" applyBorder="1" applyAlignment="1" applyProtection="1">
      <alignment horizontal="center" vertical="center"/>
    </xf>
    <xf numFmtId="0" fontId="14" fillId="14" borderId="223" xfId="0" applyNumberFormat="1" applyFont="1" applyFill="1" applyBorder="1" applyAlignment="1" applyProtection="1">
      <alignment horizontal="center" vertical="center" wrapText="1"/>
    </xf>
    <xf numFmtId="0" fontId="14" fillId="14" borderId="224" xfId="0" applyNumberFormat="1" applyFont="1" applyFill="1" applyBorder="1" applyAlignment="1" applyProtection="1">
      <alignment horizontal="center" vertical="center" wrapText="1"/>
    </xf>
    <xf numFmtId="168" fontId="53" fillId="0" borderId="1" xfId="0" applyNumberFormat="1" applyFont="1" applyFill="1" applyBorder="1" applyAlignment="1" applyProtection="1">
      <alignment horizontal="center" vertical="center"/>
    </xf>
    <xf numFmtId="166" fontId="68" fillId="0" borderId="1" xfId="8" applyNumberFormat="1" applyFont="1" applyFill="1" applyBorder="1" applyAlignment="1" applyProtection="1">
      <alignment horizontal="center" vertical="center"/>
    </xf>
    <xf numFmtId="0" fontId="14" fillId="14" borderId="222" xfId="0" applyNumberFormat="1" applyFont="1" applyFill="1" applyBorder="1" applyAlignment="1" applyProtection="1">
      <alignment horizontal="center" vertical="center" wrapText="1"/>
    </xf>
    <xf numFmtId="176" fontId="51" fillId="0" borderId="83" xfId="0" applyNumberFormat="1" applyFont="1" applyFill="1" applyBorder="1" applyAlignment="1" applyProtection="1">
      <alignment horizontal="center" vertical="center"/>
    </xf>
    <xf numFmtId="190" fontId="51" fillId="0" borderId="84" xfId="0" applyNumberFormat="1" applyFont="1" applyFill="1" applyBorder="1" applyAlignment="1">
      <alignment horizontal="center" vertical="center" wrapText="1"/>
    </xf>
    <xf numFmtId="177" fontId="53" fillId="0" borderId="6" xfId="1" applyNumberFormat="1" applyFont="1" applyFill="1" applyBorder="1" applyAlignment="1" applyProtection="1">
      <alignment horizontal="center" vertical="center"/>
    </xf>
    <xf numFmtId="0" fontId="10" fillId="0" borderId="86" xfId="0" applyFont="1" applyFill="1" applyBorder="1" applyAlignment="1" applyProtection="1">
      <alignment horizontal="center" vertical="center"/>
    </xf>
    <xf numFmtId="0" fontId="14" fillId="0" borderId="223" xfId="0" applyNumberFormat="1" applyFont="1" applyFill="1" applyBorder="1" applyAlignment="1" applyProtection="1">
      <alignment horizontal="center" vertical="center" wrapText="1"/>
    </xf>
    <xf numFmtId="0" fontId="14" fillId="0" borderId="224" xfId="0" applyNumberFormat="1" applyFont="1" applyFill="1" applyBorder="1" applyAlignment="1" applyProtection="1">
      <alignment horizontal="center" vertical="center" wrapText="1"/>
    </xf>
    <xf numFmtId="0" fontId="151" fillId="0" borderId="108" xfId="0"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76" fillId="0" borderId="11" xfId="0" applyFont="1" applyFill="1" applyBorder="1" applyAlignment="1" applyProtection="1">
      <alignment horizontal="center" vertical="center"/>
    </xf>
    <xf numFmtId="0" fontId="53" fillId="0" borderId="86" xfId="0" applyFont="1" applyFill="1" applyBorder="1" applyAlignment="1" applyProtection="1">
      <alignment horizontal="center" vertical="center"/>
    </xf>
    <xf numFmtId="173" fontId="38" fillId="0" borderId="104" xfId="7" applyNumberFormat="1" applyFont="1" applyFill="1" applyBorder="1" applyAlignment="1" applyProtection="1">
      <alignment horizontal="center" vertical="center"/>
    </xf>
    <xf numFmtId="173" fontId="51" fillId="0" borderId="133" xfId="7" applyNumberFormat="1" applyFont="1" applyFill="1" applyBorder="1" applyAlignment="1" applyProtection="1">
      <alignment horizontal="center" vertical="center"/>
    </xf>
    <xf numFmtId="190" fontId="51" fillId="0" borderId="134" xfId="0" applyNumberFormat="1" applyFont="1" applyFill="1" applyBorder="1" applyAlignment="1" applyProtection="1">
      <alignment horizontal="center" vertical="center"/>
    </xf>
    <xf numFmtId="0" fontId="76" fillId="0" borderId="226" xfId="0" applyFont="1" applyFill="1" applyBorder="1" applyAlignment="1" applyProtection="1">
      <alignment horizontal="center" vertical="center"/>
    </xf>
    <xf numFmtId="0" fontId="76" fillId="0" borderId="210" xfId="0" applyFont="1" applyFill="1" applyBorder="1" applyAlignment="1" applyProtection="1">
      <alignment horizontal="center" vertical="center"/>
    </xf>
    <xf numFmtId="0" fontId="24" fillId="0" borderId="227" xfId="8" applyFont="1" applyFill="1" applyBorder="1" applyAlignment="1" applyProtection="1">
      <alignment horizontal="center" vertical="center" wrapText="1"/>
    </xf>
    <xf numFmtId="176" fontId="51" fillId="0" borderId="228" xfId="0" applyNumberFormat="1" applyFont="1" applyFill="1" applyBorder="1" applyAlignment="1" applyProtection="1">
      <alignment horizontal="center" vertical="center"/>
    </xf>
    <xf numFmtId="167" fontId="68" fillId="0" borderId="229" xfId="8" applyNumberFormat="1" applyFont="1" applyFill="1" applyBorder="1" applyAlignment="1" applyProtection="1">
      <alignment horizontal="center" vertical="center"/>
    </xf>
    <xf numFmtId="190" fontId="51" fillId="0" borderId="229" xfId="0" applyNumberFormat="1" applyFont="1" applyFill="1" applyBorder="1" applyAlignment="1">
      <alignment horizontal="center" vertical="center" wrapText="1"/>
    </xf>
    <xf numFmtId="166" fontId="68" fillId="0" borderId="230" xfId="8" applyNumberFormat="1" applyFont="1" applyFill="1" applyBorder="1" applyAlignment="1" applyProtection="1">
      <alignment horizontal="center" vertical="center"/>
    </xf>
    <xf numFmtId="169" fontId="50" fillId="0" borderId="233" xfId="0" applyNumberFormat="1" applyFont="1" applyFill="1" applyBorder="1" applyAlignment="1" applyProtection="1">
      <alignment horizontal="center" vertical="center"/>
    </xf>
    <xf numFmtId="166" fontId="68" fillId="0" borderId="234" xfId="8" applyNumberFormat="1" applyFont="1" applyFill="1" applyBorder="1" applyAlignment="1" applyProtection="1">
      <alignment horizontal="center" vertical="center"/>
    </xf>
    <xf numFmtId="169" fontId="50" fillId="0" borderId="186"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3" fillId="11" borderId="1" xfId="0" applyFont="1" applyFill="1" applyBorder="1" applyAlignment="1" applyProtection="1">
      <alignment horizontal="center" vertical="center"/>
    </xf>
    <xf numFmtId="0" fontId="14" fillId="11" borderId="122" xfId="0" applyNumberFormat="1" applyFont="1" applyFill="1" applyBorder="1" applyAlignment="1" applyProtection="1">
      <alignment horizontal="center" vertical="center" wrapText="1"/>
    </xf>
    <xf numFmtId="0" fontId="24" fillId="11" borderId="1" xfId="0" applyFont="1" applyFill="1" applyBorder="1" applyAlignment="1">
      <alignment horizontal="center" vertical="center"/>
    </xf>
    <xf numFmtId="0" fontId="199" fillId="11" borderId="1" xfId="0" applyFont="1" applyFill="1" applyBorder="1" applyAlignment="1" applyProtection="1">
      <alignment horizontal="center" vertical="center"/>
    </xf>
    <xf numFmtId="169" fontId="246" fillId="0" borderId="186" xfId="0" applyNumberFormat="1" applyFont="1" applyFill="1" applyBorder="1" applyAlignment="1" applyProtection="1">
      <alignment horizontal="center" vertical="center"/>
    </xf>
    <xf numFmtId="166" fontId="249" fillId="0" borderId="231" xfId="0" applyNumberFormat="1" applyFont="1" applyFill="1" applyBorder="1" applyAlignment="1" applyProtection="1">
      <alignment horizontal="right" vertical="center"/>
    </xf>
    <xf numFmtId="177" fontId="249" fillId="0" borderId="232" xfId="1" applyNumberFormat="1" applyFont="1" applyFill="1" applyBorder="1" applyAlignment="1" applyProtection="1">
      <alignment horizontal="center" vertical="center"/>
    </xf>
    <xf numFmtId="168" fontId="249" fillId="0" borderId="184" xfId="0" applyNumberFormat="1" applyFont="1" applyFill="1" applyBorder="1" applyAlignment="1" applyProtection="1">
      <alignment horizontal="center" vertical="center"/>
    </xf>
    <xf numFmtId="176" fontId="246" fillId="0" borderId="228" xfId="0" applyNumberFormat="1" applyFont="1" applyFill="1" applyBorder="1" applyAlignment="1" applyProtection="1">
      <alignment horizontal="center" vertical="center"/>
    </xf>
    <xf numFmtId="167" fontId="219" fillId="0" borderId="229" xfId="8" applyNumberFormat="1" applyFont="1" applyFill="1" applyBorder="1" applyAlignment="1" applyProtection="1">
      <alignment horizontal="center" vertical="center"/>
    </xf>
    <xf numFmtId="190" fontId="246" fillId="0" borderId="229" xfId="0" applyNumberFormat="1" applyFont="1" applyFill="1" applyBorder="1" applyAlignment="1">
      <alignment horizontal="center" vertical="center" wrapText="1"/>
    </xf>
    <xf numFmtId="166" fontId="219" fillId="0" borderId="230" xfId="8" applyNumberFormat="1" applyFont="1" applyFill="1" applyBorder="1" applyAlignment="1" applyProtection="1">
      <alignment horizontal="center" vertical="center"/>
    </xf>
    <xf numFmtId="166" fontId="249" fillId="0" borderId="189" xfId="0" applyNumberFormat="1" applyFont="1" applyFill="1" applyBorder="1" applyAlignment="1" applyProtection="1">
      <alignment horizontal="right" vertical="center"/>
    </xf>
    <xf numFmtId="177" fontId="249" fillId="0" borderId="190" xfId="1" applyNumberFormat="1" applyFont="1" applyFill="1" applyBorder="1" applyAlignment="1" applyProtection="1">
      <alignment horizontal="center" vertical="center"/>
    </xf>
    <xf numFmtId="168" fontId="249" fillId="0" borderId="191" xfId="0" applyNumberFormat="1" applyFont="1" applyFill="1" applyBorder="1" applyAlignment="1" applyProtection="1">
      <alignment horizontal="center" vertical="center"/>
    </xf>
    <xf numFmtId="166" fontId="249" fillId="0" borderId="87" xfId="0" applyNumberFormat="1" applyFont="1" applyFill="1" applyBorder="1" applyAlignment="1" applyProtection="1">
      <alignment horizontal="right" vertical="center"/>
    </xf>
    <xf numFmtId="177" fontId="249" fillId="0" borderId="144" xfId="1" applyNumberFormat="1" applyFont="1" applyFill="1" applyBorder="1" applyAlignment="1" applyProtection="1">
      <alignment horizontal="center" vertical="center"/>
    </xf>
    <xf numFmtId="168" fontId="249" fillId="0" borderId="69" xfId="0" applyNumberFormat="1" applyFont="1" applyFill="1" applyBorder="1" applyAlignment="1" applyProtection="1">
      <alignment horizontal="center" vertical="center"/>
    </xf>
    <xf numFmtId="176" fontId="246" fillId="0" borderId="83" xfId="0" applyNumberFormat="1" applyFont="1" applyFill="1" applyBorder="1" applyAlignment="1" applyProtection="1">
      <alignment horizontal="center" vertical="center"/>
    </xf>
    <xf numFmtId="167" fontId="219" fillId="0" borderId="84" xfId="8" applyNumberFormat="1" applyFont="1" applyFill="1" applyBorder="1" applyAlignment="1" applyProtection="1">
      <alignment horizontal="center" vertical="center"/>
    </xf>
    <xf numFmtId="190" fontId="246" fillId="0" borderId="84" xfId="0" applyNumberFormat="1" applyFont="1" applyFill="1" applyBorder="1" applyAlignment="1">
      <alignment horizontal="center" vertical="center" wrapText="1"/>
    </xf>
    <xf numFmtId="166" fontId="219" fillId="0" borderId="85" xfId="8" applyNumberFormat="1" applyFont="1" applyFill="1" applyBorder="1" applyAlignment="1" applyProtection="1">
      <alignment horizontal="center" vertical="center"/>
    </xf>
    <xf numFmtId="166" fontId="219" fillId="0" borderId="135" xfId="8" applyNumberFormat="1" applyFont="1" applyFill="1" applyBorder="1" applyAlignment="1" applyProtection="1">
      <alignment horizontal="center" vertical="center"/>
    </xf>
    <xf numFmtId="169" fontId="191" fillId="0" borderId="104" xfId="0" applyNumberFormat="1" applyFont="1" applyFill="1" applyBorder="1" applyAlignment="1" applyProtection="1">
      <alignment horizontal="center" vertical="center"/>
    </xf>
    <xf numFmtId="0" fontId="76" fillId="0" borderId="1" xfId="0" applyFont="1" applyFill="1" applyBorder="1" applyAlignment="1" applyProtection="1">
      <alignment horizontal="center" vertical="center"/>
    </xf>
    <xf numFmtId="0" fontId="53" fillId="11" borderId="3" xfId="0" applyFont="1" applyFill="1" applyBorder="1" applyAlignment="1" applyProtection="1">
      <alignment horizontal="center" vertical="center"/>
    </xf>
    <xf numFmtId="0" fontId="14" fillId="11" borderId="3" xfId="0" applyNumberFormat="1" applyFont="1" applyFill="1" applyBorder="1" applyAlignment="1" applyProtection="1">
      <alignment horizontal="center" vertical="center" wrapText="1"/>
    </xf>
    <xf numFmtId="0" fontId="14" fillId="11" borderId="125" xfId="0" applyNumberFormat="1" applyFont="1" applyFill="1" applyBorder="1" applyAlignment="1" applyProtection="1">
      <alignment horizontal="center" vertical="center" wrapText="1"/>
    </xf>
    <xf numFmtId="0" fontId="199" fillId="11" borderId="3" xfId="0" applyFont="1" applyFill="1" applyBorder="1" applyAlignment="1" applyProtection="1">
      <alignment horizontal="center" vertical="center"/>
    </xf>
    <xf numFmtId="0" fontId="59" fillId="0" borderId="1" xfId="8"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2" fillId="0" borderId="0" xfId="0" applyFont="1" applyFill="1" applyBorder="1" applyAlignment="1">
      <alignment horizontal="center" vertical="center" wrapText="1"/>
    </xf>
    <xf numFmtId="0" fontId="65" fillId="0" borderId="0" xfId="0" applyFont="1" applyFill="1" applyBorder="1" applyAlignment="1" applyProtection="1">
      <alignment horizontal="centerContinuous" vertical="center" wrapText="1"/>
    </xf>
    <xf numFmtId="0" fontId="65" fillId="0" borderId="5" xfId="0" applyFont="1" applyFill="1" applyBorder="1" applyAlignment="1" applyProtection="1">
      <alignment horizontal="centerContinuous" vertical="center" wrapText="1"/>
    </xf>
    <xf numFmtId="0" fontId="65" fillId="0" borderId="9" xfId="0" applyFont="1" applyFill="1" applyBorder="1" applyAlignment="1" applyProtection="1">
      <alignment horizontal="centerContinuous" vertical="center" wrapText="1"/>
    </xf>
    <xf numFmtId="187" fontId="105" fillId="0" borderId="11" xfId="8" applyNumberFormat="1" applyFont="1" applyFill="1" applyBorder="1" applyAlignment="1" applyProtection="1">
      <alignment horizontal="center" vertical="center" wrapText="1"/>
    </xf>
    <xf numFmtId="187" fontId="105" fillId="0" borderId="0" xfId="8" applyNumberFormat="1" applyFont="1" applyFill="1" applyBorder="1" applyAlignment="1" applyProtection="1">
      <alignment horizontal="center" vertical="center" wrapText="1"/>
    </xf>
    <xf numFmtId="0" fontId="51" fillId="11" borderId="1" xfId="0" applyFont="1" applyFill="1" applyBorder="1" applyAlignment="1">
      <alignment horizontal="center" vertical="center"/>
    </xf>
    <xf numFmtId="0" fontId="105" fillId="11" borderId="122" xfId="0" applyNumberFormat="1" applyFont="1" applyFill="1" applyBorder="1" applyAlignment="1" applyProtection="1">
      <alignment horizontal="center" vertical="center" wrapText="1"/>
    </xf>
    <xf numFmtId="0" fontId="51" fillId="11" borderId="3" xfId="0" applyFont="1" applyFill="1" applyBorder="1" applyAlignment="1">
      <alignment horizontal="center" vertical="center"/>
    </xf>
    <xf numFmtId="0" fontId="133" fillId="11" borderId="1" xfId="0" applyFont="1" applyFill="1" applyBorder="1" applyAlignment="1" applyProtection="1">
      <alignment horizontal="center" vertical="center" wrapText="1"/>
    </xf>
    <xf numFmtId="0" fontId="105" fillId="11" borderId="6"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39" borderId="1" xfId="0" applyNumberFormat="1" applyFont="1" applyFill="1" applyBorder="1" applyAlignment="1" applyProtection="1">
      <alignment horizontal="center" vertical="center" wrapText="1"/>
    </xf>
    <xf numFmtId="0" fontId="38" fillId="39" borderId="122" xfId="0" applyNumberFormat="1" applyFont="1" applyFill="1" applyBorder="1" applyAlignment="1" applyProtection="1">
      <alignment horizontal="center" vertical="center" wrapText="1"/>
    </xf>
    <xf numFmtId="173" fontId="50" fillId="39" borderId="1" xfId="7" applyNumberFormat="1" applyFont="1" applyFill="1" applyBorder="1" applyAlignment="1">
      <alignment horizontal="center" vertical="center"/>
    </xf>
    <xf numFmtId="10" fontId="212" fillId="61" borderId="70"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50" fillId="11" borderId="1" xfId="0" applyNumberFormat="1" applyFont="1" applyFill="1" applyBorder="1" applyAlignment="1" applyProtection="1">
      <alignment horizontal="center" vertical="center" wrapText="1"/>
    </xf>
    <xf numFmtId="0" fontId="50" fillId="11" borderId="122" xfId="0" applyNumberFormat="1" applyFont="1" applyFill="1" applyBorder="1" applyAlignment="1">
      <alignment horizontal="center" vertical="center" wrapText="1"/>
    </xf>
    <xf numFmtId="171" fontId="212" fillId="11" borderId="6" xfId="0" applyNumberFormat="1" applyFont="1" applyFill="1" applyBorder="1" applyAlignment="1">
      <alignment horizontal="center" vertical="center"/>
    </xf>
    <xf numFmtId="176" fontId="51" fillId="0" borderId="83" xfId="1" applyNumberFormat="1" applyFont="1" applyFill="1" applyBorder="1" applyAlignment="1" applyProtection="1">
      <alignment horizontal="center" vertical="center"/>
    </xf>
    <xf numFmtId="167" fontId="68" fillId="0" borderId="81" xfId="0" applyNumberFormat="1" applyFont="1" applyFill="1" applyBorder="1" applyAlignment="1" applyProtection="1">
      <alignment horizontal="center" vertical="center"/>
    </xf>
    <xf numFmtId="166" fontId="68" fillId="0" borderId="82" xfId="0" applyNumberFormat="1" applyFont="1" applyFill="1" applyBorder="1" applyAlignment="1" applyProtection="1">
      <alignment horizontal="center" vertical="center"/>
    </xf>
    <xf numFmtId="10" fontId="51" fillId="0" borderId="104" xfId="7" applyNumberFormat="1" applyFont="1" applyFill="1" applyBorder="1" applyAlignment="1" applyProtection="1">
      <alignment horizontal="center" vertical="center"/>
    </xf>
    <xf numFmtId="167" fontId="68" fillId="0" borderId="105" xfId="8" applyNumberFormat="1" applyFont="1" applyFill="1" applyBorder="1" applyAlignment="1" applyProtection="1">
      <alignment horizontal="center" vertical="center"/>
    </xf>
    <xf numFmtId="190" fontId="51" fillId="0" borderId="105" xfId="0" applyNumberFormat="1" applyFont="1" applyFill="1" applyBorder="1" applyAlignment="1">
      <alignment horizontal="center" vertical="center"/>
    </xf>
    <xf numFmtId="166" fontId="68" fillId="0" borderId="235" xfId="8" applyNumberFormat="1" applyFont="1" applyFill="1" applyBorder="1" applyAlignment="1" applyProtection="1">
      <alignment horizontal="center" vertical="center"/>
    </xf>
    <xf numFmtId="173" fontId="212" fillId="0" borderId="6" xfId="0" applyNumberFormat="1" applyFont="1" applyFill="1" applyBorder="1" applyAlignment="1">
      <alignment horizontal="center" vertical="center"/>
    </xf>
    <xf numFmtId="170" fontId="51" fillId="0" borderId="80" xfId="0" applyNumberFormat="1" applyFont="1" applyFill="1" applyBorder="1" applyAlignment="1" applyProtection="1">
      <alignment horizontal="center" vertical="center"/>
    </xf>
    <xf numFmtId="176" fontId="24" fillId="0" borderId="112" xfId="0" applyNumberFormat="1" applyFont="1" applyFill="1" applyBorder="1" applyAlignment="1" applyProtection="1">
      <alignment horizontal="center" vertical="center" wrapText="1"/>
    </xf>
    <xf numFmtId="0" fontId="145" fillId="0" borderId="0" xfId="4" applyFont="1" applyAlignment="1">
      <alignment horizontal="center" vertical="center"/>
    </xf>
    <xf numFmtId="0" fontId="209" fillId="0" borderId="1" xfId="4" applyFont="1" applyBorder="1" applyAlignment="1">
      <alignment horizontal="center" vertical="center" wrapText="1"/>
    </xf>
    <xf numFmtId="0" fontId="209" fillId="0" borderId="1" xfId="4" applyFont="1" applyBorder="1" applyAlignment="1">
      <alignment horizontal="center" vertical="center"/>
    </xf>
    <xf numFmtId="0" fontId="219" fillId="13" borderId="5" xfId="4" applyFont="1" applyFill="1" applyBorder="1" applyAlignment="1">
      <alignment horizontal="center" vertical="center"/>
    </xf>
    <xf numFmtId="0" fontId="219" fillId="13" borderId="6" xfId="4" applyFont="1" applyFill="1" applyBorder="1" applyAlignment="1">
      <alignment horizontal="center" vertical="center"/>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9" fillId="0" borderId="3" xfId="4" applyFont="1" applyBorder="1" applyAlignment="1">
      <alignment horizontal="center" vertical="center" wrapText="1"/>
    </xf>
    <xf numFmtId="0" fontId="209" fillId="0" borderId="10" xfId="4" applyFont="1" applyBorder="1" applyAlignment="1">
      <alignment horizontal="center" vertical="center" wrapText="1"/>
    </xf>
    <xf numFmtId="0" fontId="209" fillId="0" borderId="86" xfId="4" applyFont="1" applyBorder="1" applyAlignment="1">
      <alignment horizontal="center" vertical="center" wrapText="1"/>
    </xf>
    <xf numFmtId="189" fontId="59" fillId="59" borderId="62" xfId="0" quotePrefix="1" applyNumberFormat="1" applyFont="1" applyFill="1" applyBorder="1" applyAlignment="1" applyProtection="1">
      <alignment horizontal="center" vertical="center"/>
      <protection locked="0"/>
    </xf>
    <xf numFmtId="189" fontId="59" fillId="59" borderId="63" xfId="0" quotePrefix="1" applyNumberFormat="1" applyFont="1" applyFill="1" applyBorder="1" applyAlignment="1" applyProtection="1">
      <alignment horizontal="center" vertical="center"/>
      <protection locked="0"/>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189" fontId="143" fillId="35" borderId="63" xfId="0" applyNumberFormat="1" applyFont="1" applyFill="1" applyBorder="1" applyAlignment="1" applyProtection="1">
      <alignment horizontal="center" vertical="center"/>
      <protection locked="0"/>
    </xf>
    <xf numFmtId="189" fontId="143" fillId="35" borderId="62" xfId="0" applyNumberFormat="1" applyFont="1" applyFill="1" applyBorder="1" applyAlignment="1" applyProtection="1">
      <alignment horizontal="center" vertical="center"/>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189" fontId="143" fillId="35" borderId="62" xfId="0" quotePrefix="1" applyNumberFormat="1" applyFont="1" applyFill="1" applyBorder="1" applyAlignment="1" applyProtection="1">
      <alignment horizontal="center" vertical="center"/>
      <protection locked="0"/>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4" fontId="177" fillId="35" borderId="42" xfId="84" quotePrefix="1" applyNumberFormat="1" applyFont="1" applyFill="1" applyBorder="1" applyAlignment="1" applyProtection="1">
      <alignment horizontal="center" vertical="center"/>
      <protection locked="0"/>
    </xf>
    <xf numFmtId="14" fontId="177" fillId="35" borderId="60" xfId="84" applyNumberFormat="1" applyFont="1" applyFill="1" applyBorder="1" applyAlignment="1" applyProtection="1">
      <alignment horizontal="center" vertical="center"/>
      <protection locked="0"/>
    </xf>
    <xf numFmtId="14" fontId="177" fillId="35" borderId="58" xfId="84" applyNumberFormat="1" applyFont="1" applyFill="1" applyBorder="1" applyAlignment="1" applyProtection="1">
      <alignment horizontal="center" vertical="center"/>
      <protection locked="0"/>
    </xf>
    <xf numFmtId="14" fontId="177" fillId="35" borderId="15" xfId="84" applyNumberFormat="1" applyFont="1" applyFill="1" applyBorder="1" applyAlignment="1" applyProtection="1">
      <alignment horizontal="center" vertical="center"/>
      <protection locked="0"/>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189" fontId="143" fillId="45" borderId="62" xfId="0" quotePrefix="1"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89" fontId="143" fillId="45" borderId="62" xfId="0" applyNumberFormat="1" applyFont="1" applyFill="1" applyBorder="1" applyAlignment="1" applyProtection="1">
      <alignment horizontal="center" vertical="center"/>
      <protection locked="0"/>
    </xf>
    <xf numFmtId="14" fontId="177" fillId="45" borderId="42" xfId="84" quotePrefix="1" applyNumberFormat="1" applyFont="1" applyFill="1" applyBorder="1" applyAlignment="1" applyProtection="1">
      <alignment horizontal="center" vertical="center"/>
      <protection locked="0"/>
    </xf>
    <xf numFmtId="14" fontId="177" fillId="45" borderId="60" xfId="84" applyNumberFormat="1" applyFont="1" applyFill="1" applyBorder="1" applyAlignment="1" applyProtection="1">
      <alignment horizontal="center" vertical="center"/>
      <protection locked="0"/>
    </xf>
    <xf numFmtId="14" fontId="177" fillId="45" borderId="58" xfId="84" applyNumberFormat="1" applyFont="1" applyFill="1" applyBorder="1" applyAlignment="1" applyProtection="1">
      <alignment horizontal="center" vertical="center"/>
      <protection locked="0"/>
    </xf>
    <xf numFmtId="14" fontId="177" fillId="45" borderId="15" xfId="84" applyNumberFormat="1" applyFont="1" applyFill="1" applyBorder="1" applyAlignment="1" applyProtection="1">
      <alignment horizontal="center" vertical="center"/>
      <protection locked="0"/>
    </xf>
    <xf numFmtId="0" fontId="50" fillId="59" borderId="42" xfId="84" quotePrefix="1" applyFont="1" applyFill="1" applyBorder="1" applyAlignment="1" applyProtection="1">
      <alignment horizontal="center" vertical="center"/>
    </xf>
    <xf numFmtId="0" fontId="50" fillId="59" borderId="43" xfId="84" quotePrefix="1" applyFont="1" applyFill="1" applyBorder="1" applyAlignment="1" applyProtection="1">
      <alignment horizontal="center" vertical="center"/>
    </xf>
    <xf numFmtId="0" fontId="50" fillId="59" borderId="44" xfId="84" quotePrefix="1" applyFont="1" applyFill="1" applyBorder="1" applyAlignment="1" applyProtection="1">
      <alignment horizontal="center" vertical="center"/>
    </xf>
    <xf numFmtId="0" fontId="50" fillId="59" borderId="45" xfId="84" quotePrefix="1" applyFont="1" applyFill="1" applyBorder="1" applyAlignment="1" applyProtection="1">
      <alignment horizontal="center" vertical="center"/>
    </xf>
    <xf numFmtId="0" fontId="50" fillId="59" borderId="40" xfId="84" quotePrefix="1" applyFont="1" applyFill="1" applyBorder="1" applyAlignment="1" applyProtection="1">
      <alignment horizontal="center" vertical="center"/>
    </xf>
    <xf numFmtId="0" fontId="50" fillId="59" borderId="41" xfId="84" quotePrefix="1" applyFont="1" applyFill="1" applyBorder="1" applyAlignment="1" applyProtection="1">
      <alignment horizontal="center" vertical="center"/>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quotePrefix="1" applyNumberFormat="1" applyFont="1" applyFill="1" applyBorder="1" applyAlignment="1" applyProtection="1">
      <alignment horizontal="center" vertical="center"/>
      <protection locked="0"/>
    </xf>
    <xf numFmtId="0" fontId="143" fillId="35" borderId="113" xfId="0" applyFont="1" applyFill="1" applyBorder="1" applyAlignment="1">
      <alignment horizontal="center" vertical="center"/>
    </xf>
    <xf numFmtId="0" fontId="143" fillId="35" borderId="114"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38" fillId="35" borderId="1" xfId="0" applyFont="1" applyFill="1" applyBorder="1" applyAlignment="1">
      <alignment horizontal="center" vertical="center"/>
    </xf>
    <xf numFmtId="0" fontId="51" fillId="35" borderId="5" xfId="0" applyFont="1" applyFill="1" applyBorder="1" applyAlignment="1">
      <alignment horizontal="center" vertical="top" wrapText="1"/>
    </xf>
    <xf numFmtId="0" fontId="51" fillId="35" borderId="9" xfId="0" applyFont="1" applyFill="1" applyBorder="1" applyAlignment="1">
      <alignment horizontal="center" vertical="top"/>
    </xf>
    <xf numFmtId="0" fontId="51" fillId="35" borderId="6" xfId="0" applyFont="1" applyFill="1" applyBorder="1" applyAlignment="1">
      <alignment horizontal="center" vertical="top"/>
    </xf>
    <xf numFmtId="0" fontId="243" fillId="35" borderId="0" xfId="0" applyFont="1" applyFill="1" applyBorder="1" applyAlignment="1">
      <alignment horizontal="center" vertical="center"/>
    </xf>
    <xf numFmtId="0" fontId="243" fillId="35" borderId="69" xfId="0" applyFont="1" applyFill="1" applyBorder="1" applyAlignment="1">
      <alignment horizontal="center" vertical="center"/>
    </xf>
    <xf numFmtId="0" fontId="51" fillId="35" borderId="1" xfId="0" applyFont="1" applyFill="1" applyBorder="1" applyAlignment="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24" fillId="6" borderId="0" xfId="0" applyFont="1" applyFill="1" applyAlignment="1">
      <alignment horizontal="center" vertical="center" wrapText="1"/>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177" fontId="38" fillId="0" borderId="101" xfId="0" applyNumberFormat="1" applyFont="1" applyFill="1" applyBorder="1" applyAlignment="1" applyProtection="1">
      <alignment horizontal="center" vertical="center" wrapText="1"/>
      <protection locked="0"/>
    </xf>
    <xf numFmtId="177" fontId="38" fillId="0" borderId="106"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xf>
    <xf numFmtId="177" fontId="50" fillId="0" borderId="101" xfId="1" applyNumberFormat="1" applyFont="1" applyFill="1" applyBorder="1" applyAlignment="1" applyProtection="1">
      <alignment horizontal="center" vertical="center"/>
    </xf>
    <xf numFmtId="177" fontId="50" fillId="0" borderId="108" xfId="1" applyNumberFormat="1" applyFont="1" applyFill="1" applyBorder="1" applyAlignment="1" applyProtection="1">
      <alignment horizontal="center" vertical="center"/>
    </xf>
    <xf numFmtId="177" fontId="50" fillId="0" borderId="106" xfId="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187" fontId="38" fillId="52" borderId="100" xfId="0" applyNumberFormat="1" applyFont="1" applyFill="1" applyBorder="1" applyAlignment="1" applyProtection="1">
      <alignment horizontal="center" vertical="center" wrapText="1"/>
      <protection locked="0"/>
    </xf>
    <xf numFmtId="187" fontId="38" fillId="52" borderId="46" xfId="0" applyNumberFormat="1" applyFont="1" applyFill="1" applyBorder="1" applyAlignment="1" applyProtection="1">
      <alignment horizontal="center" vertical="center" wrapText="1"/>
      <protection locked="0"/>
    </xf>
    <xf numFmtId="187" fontId="38" fillId="52" borderId="101" xfId="0" applyNumberFormat="1"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0" fontId="38" fillId="0" borderId="46" xfId="0"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6" xfId="0" applyNumberFormat="1" applyFont="1" applyFill="1" applyBorder="1" applyAlignment="1" applyProtection="1">
      <alignment horizontal="center" vertical="center" wrapText="1"/>
    </xf>
    <xf numFmtId="0" fontId="38" fillId="0" borderId="125" xfId="0" applyFont="1" applyFill="1" applyBorder="1" applyAlignment="1" applyProtection="1">
      <alignment horizontal="center" vertical="center" wrapText="1"/>
    </xf>
    <xf numFmtId="0" fontId="38" fillId="0" borderId="126"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177" fontId="50" fillId="0" borderId="1" xfId="1"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68" fillId="0" borderId="1" xfId="8"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0" fillId="0" borderId="5" xfId="0" applyFont="1" applyFill="1" applyBorder="1" applyAlignment="1">
      <alignment horizontal="center" vertical="center" wrapText="1"/>
    </xf>
    <xf numFmtId="0" fontId="0" fillId="0" borderId="9" xfId="0" applyBorder="1">
      <alignment vertical="center"/>
    </xf>
    <xf numFmtId="0" fontId="0" fillId="0" borderId="6" xfId="0" applyBorder="1">
      <alignment vertical="center"/>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14" fontId="141" fillId="50" borderId="7" xfId="8" applyNumberFormat="1" applyFont="1" applyFill="1" applyBorder="1" applyAlignment="1" applyProtection="1">
      <alignment horizontal="center" vertical="center" wrapText="1"/>
      <protection locked="0"/>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0" fontId="55" fillId="0" borderId="1"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52" fillId="0" borderId="125" xfId="0" applyNumberFormat="1" applyFont="1" applyFill="1" applyBorder="1" applyAlignment="1" applyProtection="1">
      <alignment horizontal="center" vertical="center" wrapText="1"/>
    </xf>
    <xf numFmtId="0" fontId="52" fillId="0" borderId="126" xfId="0" applyNumberFormat="1" applyFont="1" applyFill="1" applyBorder="1" applyAlignment="1" applyProtection="1">
      <alignment horizontal="center" vertical="center" wrapText="1"/>
    </xf>
    <xf numFmtId="0" fontId="55" fillId="0" borderId="5"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177" fontId="50" fillId="0" borderId="6" xfId="1" applyNumberFormat="1" applyFont="1" applyFill="1" applyBorder="1" applyAlignment="1" applyProtection="1">
      <alignment horizontal="center" vertical="center"/>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20" fontId="24" fillId="0" borderId="5"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24" fillId="0" borderId="9" xfId="0" quotePrefix="1" applyNumberFormat="1"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52" fillId="0" borderId="0" xfId="0" applyFont="1" applyFill="1" applyBorder="1" applyAlignment="1" applyProtection="1">
      <alignment horizontal="center" vertical="center"/>
      <protection locked="0"/>
    </xf>
    <xf numFmtId="20" fontId="52" fillId="0" borderId="9" xfId="0" quotePrefix="1" applyNumberFormat="1" applyFont="1" applyFill="1" applyBorder="1" applyAlignment="1" applyProtection="1">
      <alignment horizontal="center" vertical="center" wrapText="1"/>
    </xf>
    <xf numFmtId="20" fontId="52" fillId="0" borderId="1" xfId="0" quotePrefix="1" applyNumberFormat="1"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0" fontId="0" fillId="0" borderId="69" xfId="0" applyBorder="1">
      <alignment vertical="center"/>
    </xf>
    <xf numFmtId="0" fontId="50" fillId="0" borderId="2" xfId="0" applyFont="1" applyFill="1" applyBorder="1" applyAlignment="1" applyProtection="1">
      <alignment horizontal="center" vertical="center"/>
    </xf>
    <xf numFmtId="0" fontId="52" fillId="0" borderId="9"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177" fontId="50" fillId="0" borderId="5" xfId="1" applyNumberFormat="1" applyFont="1" applyFill="1" applyBorder="1" applyAlignment="1" applyProtection="1">
      <alignment horizontal="center" vertical="center"/>
    </xf>
    <xf numFmtId="0" fontId="50" fillId="0" borderId="212" xfId="0" applyFont="1" applyFill="1" applyBorder="1" applyAlignment="1" applyProtection="1">
      <alignment horizontal="center" vertical="center" wrapText="1"/>
      <protection locked="0"/>
    </xf>
    <xf numFmtId="0" fontId="50" fillId="0" borderId="212"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0" fontId="68" fillId="11" borderId="5" xfId="0" applyFont="1" applyFill="1" applyBorder="1" applyAlignment="1" applyProtection="1">
      <alignment horizontal="center" vertical="center" wrapText="1"/>
    </xf>
    <xf numFmtId="0" fontId="68" fillId="11" borderId="9" xfId="0" applyFont="1" applyFill="1" applyBorder="1" applyAlignment="1" applyProtection="1">
      <alignment horizontal="center" vertical="center" wrapText="1"/>
    </xf>
    <xf numFmtId="0" fontId="68" fillId="11" borderId="6" xfId="0" applyFont="1" applyFill="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14" fillId="11" borderId="13" xfId="0" applyFont="1" applyFill="1" applyBorder="1" applyAlignment="1" applyProtection="1">
      <alignment horizontal="center" vertical="center" wrapText="1"/>
    </xf>
    <xf numFmtId="0" fontId="14" fillId="11" borderId="8" xfId="0" applyFont="1" applyFill="1" applyBorder="1" applyAlignment="1" applyProtection="1">
      <alignment horizontal="center" vertical="center" wrapText="1"/>
    </xf>
    <xf numFmtId="0" fontId="14" fillId="11" borderId="12" xfId="0" applyFont="1" applyFill="1" applyBorder="1" applyAlignment="1" applyProtection="1">
      <alignment horizontal="center" vertical="center" wrapText="1"/>
    </xf>
    <xf numFmtId="0" fontId="14" fillId="11" borderId="4" xfId="0" applyFont="1" applyFill="1" applyBorder="1" applyAlignment="1" applyProtection="1">
      <alignment horizontal="center" vertical="center" wrapText="1"/>
    </xf>
    <xf numFmtId="0" fontId="14" fillId="11" borderId="7" xfId="0" applyFont="1" applyFill="1" applyBorder="1" applyAlignment="1" applyProtection="1">
      <alignment horizontal="center" vertical="center" wrapText="1"/>
    </xf>
    <xf numFmtId="0" fontId="14" fillId="11" borderId="15" xfId="0" applyFont="1" applyFill="1" applyBorder="1" applyAlignment="1" applyProtection="1">
      <alignment horizontal="center" vertical="center" wrapText="1"/>
    </xf>
    <xf numFmtId="0" fontId="53" fillId="0" borderId="5" xfId="0" applyFont="1" applyFill="1" applyBorder="1" applyAlignment="1">
      <alignment horizontal="left" vertical="center" wrapText="1"/>
    </xf>
    <xf numFmtId="0" fontId="53" fillId="0" borderId="9" xfId="0" applyFont="1" applyFill="1" applyBorder="1" applyAlignment="1">
      <alignment horizontal="left" vertical="center" wrapText="1"/>
    </xf>
    <xf numFmtId="0" fontId="53" fillId="0" borderId="6" xfId="0" applyFont="1" applyFill="1" applyBorder="1" applyAlignment="1">
      <alignment horizontal="left"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105" fillId="11" borderId="13" xfId="0" applyFont="1" applyFill="1" applyBorder="1" applyAlignment="1" applyProtection="1">
      <alignment horizontal="center" vertical="center" wrapText="1"/>
    </xf>
    <xf numFmtId="0" fontId="105" fillId="11" borderId="8" xfId="0" applyFont="1" applyFill="1" applyBorder="1" applyAlignment="1" applyProtection="1">
      <alignment horizontal="center" vertical="center" wrapText="1"/>
    </xf>
    <xf numFmtId="0" fontId="105" fillId="11" borderId="12" xfId="0" applyFont="1" applyFill="1" applyBorder="1" applyAlignment="1" applyProtection="1">
      <alignment horizontal="center" vertical="center" wrapText="1"/>
    </xf>
    <xf numFmtId="0" fontId="105" fillId="11" borderId="87" xfId="0" applyFont="1" applyFill="1" applyBorder="1" applyAlignment="1" applyProtection="1">
      <alignment horizontal="center" vertical="center" wrapText="1"/>
    </xf>
    <xf numFmtId="0" fontId="105" fillId="11" borderId="69" xfId="0" applyFont="1" applyFill="1" applyBorder="1" applyAlignment="1" applyProtection="1">
      <alignment horizontal="center" vertical="center" wrapText="1"/>
    </xf>
    <xf numFmtId="0" fontId="105" fillId="11" borderId="70" xfId="0" applyFont="1" applyFill="1" applyBorder="1" applyAlignment="1" applyProtection="1">
      <alignment horizontal="center" vertical="center" wrapText="1"/>
    </xf>
    <xf numFmtId="0" fontId="10" fillId="14" borderId="86" xfId="0" applyFont="1" applyFill="1" applyBorder="1" applyAlignment="1" applyProtection="1">
      <alignment horizontal="center" vertical="center" wrapText="1"/>
    </xf>
    <xf numFmtId="0" fontId="76" fillId="0" borderId="3" xfId="0" applyFont="1" applyFill="1" applyBorder="1" applyAlignment="1" applyProtection="1">
      <alignment horizontal="center" vertical="center"/>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53" fillId="11" borderId="13" xfId="0" applyFont="1" applyFill="1" applyBorder="1" applyAlignment="1" applyProtection="1">
      <alignment horizontal="center" vertical="center" wrapText="1"/>
    </xf>
    <xf numFmtId="0" fontId="53" fillId="11" borderId="8" xfId="0" applyFont="1" applyFill="1" applyBorder="1" applyAlignment="1" applyProtection="1">
      <alignment horizontal="center" vertical="center" wrapText="1"/>
    </xf>
    <xf numFmtId="0" fontId="53" fillId="11" borderId="4" xfId="0" applyFont="1" applyFill="1" applyBorder="1" applyAlignment="1" applyProtection="1">
      <alignment horizontal="center" vertical="center" wrapText="1"/>
    </xf>
    <xf numFmtId="0" fontId="53" fillId="11" borderId="7" xfId="0" applyFont="1" applyFill="1" applyBorder="1" applyAlignment="1" applyProtection="1">
      <alignment horizontal="center" vertical="center" wrapText="1"/>
    </xf>
    <xf numFmtId="0" fontId="53" fillId="11" borderId="12" xfId="0" applyFont="1" applyFill="1" applyBorder="1" applyAlignment="1" applyProtection="1">
      <alignment horizontal="center" vertical="center" wrapText="1"/>
      <protection locked="0"/>
    </xf>
    <xf numFmtId="0" fontId="53" fillId="11" borderId="15" xfId="0" applyFont="1" applyFill="1" applyBorder="1" applyAlignment="1" applyProtection="1">
      <alignment horizontal="center" vertical="center" wrapText="1"/>
      <protection locked="0"/>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5" fillId="0" borderId="3" xfId="0" applyFont="1" applyFill="1" applyBorder="1" applyAlignment="1" applyProtection="1">
      <alignment horizontal="center" vertical="center"/>
    </xf>
    <xf numFmtId="0" fontId="53" fillId="11" borderId="5" xfId="8" applyFont="1" applyFill="1" applyBorder="1" applyAlignment="1" applyProtection="1">
      <alignment horizontal="center" vertical="center" wrapText="1"/>
    </xf>
    <xf numFmtId="0" fontId="53" fillId="11" borderId="9" xfId="8" applyFont="1" applyFill="1" applyBorder="1" applyAlignment="1" applyProtection="1">
      <alignment horizontal="center" vertical="center" wrapText="1"/>
    </xf>
    <xf numFmtId="0" fontId="53" fillId="11" borderId="6" xfId="8" applyFont="1" applyFill="1" applyBorder="1" applyAlignment="1" applyProtection="1">
      <alignment horizontal="center" vertical="center" wrapText="1"/>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53" fillId="11" borderId="3" xfId="8" applyFont="1" applyFill="1" applyBorder="1" applyAlignment="1" applyProtection="1">
      <alignment horizontal="center" vertical="center" wrapText="1"/>
    </xf>
    <xf numFmtId="0" fontId="53" fillId="11" borderId="2" xfId="8" applyFont="1" applyFill="1" applyBorder="1" applyAlignment="1" applyProtection="1">
      <alignment horizontal="center" vertical="center" wrapText="1"/>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Fill="1" applyBorder="1" applyAlignment="1" applyProtection="1">
      <alignment horizontal="center" vertical="center" wrapText="1"/>
    </xf>
    <xf numFmtId="0" fontId="53" fillId="11" borderId="5" xfId="0" applyFont="1" applyFill="1" applyBorder="1" applyAlignment="1" applyProtection="1">
      <alignment horizontal="center" vertical="center" wrapText="1"/>
    </xf>
    <xf numFmtId="0" fontId="53" fillId="11" borderId="9" xfId="0" applyFont="1" applyFill="1" applyBorder="1" applyAlignment="1" applyProtection="1">
      <alignment horizontal="center" vertical="center" wrapText="1"/>
    </xf>
    <xf numFmtId="0" fontId="53" fillId="11" borderId="6" xfId="0" applyFont="1" applyFill="1" applyBorder="1" applyAlignment="1" applyProtection="1">
      <alignment horizontal="center" vertical="center" wrapText="1"/>
    </xf>
    <xf numFmtId="41" fontId="38" fillId="0" borderId="6" xfId="0" applyNumberFormat="1" applyFont="1" applyFill="1" applyBorder="1" applyAlignment="1" applyProtection="1">
      <alignment horizontal="center" vertical="center" wrapText="1"/>
      <protection locked="0"/>
    </xf>
    <xf numFmtId="41" fontId="38" fillId="0" borderId="1"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5" fillId="11" borderId="5" xfId="0" applyFont="1" applyFill="1" applyBorder="1" applyAlignment="1" applyProtection="1">
      <alignment horizontal="center" vertical="center" wrapText="1"/>
    </xf>
    <xf numFmtId="0" fontId="55" fillId="11" borderId="9" xfId="0" applyFont="1" applyFill="1" applyBorder="1" applyAlignment="1" applyProtection="1">
      <alignment horizontal="center" vertical="center" wrapText="1"/>
    </xf>
    <xf numFmtId="0" fontId="55" fillId="11" borderId="6" xfId="0"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protection locked="0"/>
    </xf>
    <xf numFmtId="0" fontId="51" fillId="11" borderId="5" xfId="0" applyFont="1" applyFill="1" applyBorder="1" applyAlignment="1" applyProtection="1">
      <alignment horizontal="center" vertical="center" wrapText="1"/>
    </xf>
    <xf numFmtId="0" fontId="51" fillId="11" borderId="9" xfId="0" applyFont="1" applyFill="1" applyBorder="1" applyAlignment="1" applyProtection="1">
      <alignment horizontal="center" vertical="center" wrapText="1"/>
    </xf>
    <xf numFmtId="0" fontId="51" fillId="11" borderId="6" xfId="0"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0" fontId="10" fillId="0" borderId="9"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protection locked="0"/>
    </xf>
    <xf numFmtId="0" fontId="55" fillId="0" borderId="11" xfId="0" applyFont="1" applyFill="1" applyBorder="1" applyAlignment="1" applyProtection="1">
      <alignment horizontal="center" vertical="center" wrapText="1"/>
    </xf>
    <xf numFmtId="0" fontId="55" fillId="0" borderId="0" xfId="0" applyFont="1" applyFill="1" applyBorder="1" applyAlignment="1" applyProtection="1">
      <alignment horizontal="center" vertical="center" wrapText="1"/>
    </xf>
    <xf numFmtId="0" fontId="55" fillId="0" borderId="16" xfId="0" applyFont="1" applyFill="1" applyBorder="1" applyAlignment="1" applyProtection="1">
      <alignment horizontal="center" vertical="center" wrapText="1"/>
    </xf>
    <xf numFmtId="0" fontId="52" fillId="0" borderId="3" xfId="0" applyFont="1" applyFill="1" applyBorder="1" applyAlignment="1" applyProtection="1">
      <alignment horizontal="center" vertical="center"/>
    </xf>
    <xf numFmtId="0" fontId="52" fillId="0" borderId="3" xfId="0" applyNumberFormat="1" applyFont="1" applyFill="1" applyBorder="1" applyAlignment="1" applyProtection="1">
      <alignment horizontal="center" vertical="center"/>
    </xf>
    <xf numFmtId="0" fontId="52" fillId="0" borderId="222" xfId="0" applyNumberFormat="1" applyFont="1" applyFill="1" applyBorder="1" applyAlignment="1" applyProtection="1">
      <alignment horizontal="center" vertical="center" wrapText="1"/>
    </xf>
    <xf numFmtId="0" fontId="17" fillId="14" borderId="1" xfId="8" applyFont="1" applyFill="1" applyBorder="1" applyAlignment="1" applyProtection="1">
      <alignment horizontal="center" vertical="center" wrapText="1"/>
    </xf>
    <xf numFmtId="0" fontId="10" fillId="14" borderId="1" xfId="0"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08" xfId="0" applyNumberFormat="1" applyFont="1" applyFill="1" applyBorder="1" applyAlignment="1" applyProtection="1">
      <alignment horizontal="center" vertical="center" wrapText="1"/>
      <protection locked="0"/>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41" fontId="38" fillId="0" borderId="106" xfId="0" applyNumberFormat="1" applyFont="1" applyFill="1" applyBorder="1" applyAlignment="1" applyProtection="1">
      <alignment horizontal="center" vertical="center" wrapText="1"/>
      <protection locked="0"/>
    </xf>
    <xf numFmtId="0" fontId="76" fillId="0" borderId="169" xfId="0" applyFont="1" applyFill="1" applyBorder="1" applyAlignment="1" applyProtection="1">
      <alignment horizontal="center" vertical="center"/>
    </xf>
    <xf numFmtId="0" fontId="76" fillId="0" borderId="225" xfId="0" applyFont="1" applyFill="1" applyBorder="1" applyAlignment="1" applyProtection="1">
      <alignment horizontal="center" vertical="center"/>
    </xf>
    <xf numFmtId="0" fontId="17" fillId="14" borderId="172" xfId="8" applyFont="1" applyFill="1" applyBorder="1" applyAlignment="1" applyProtection="1">
      <alignment horizontal="center" vertical="center" wrapText="1"/>
    </xf>
    <xf numFmtId="0" fontId="52" fillId="0" borderId="87" xfId="0" applyFont="1" applyFill="1" applyBorder="1" applyAlignment="1">
      <alignment horizontal="center" vertical="center" wrapText="1"/>
    </xf>
    <xf numFmtId="0" fontId="52" fillId="0" borderId="69" xfId="0" applyFont="1" applyFill="1" applyBorder="1" applyAlignment="1">
      <alignment horizontal="center" vertical="center" wrapText="1"/>
    </xf>
    <xf numFmtId="0" fontId="52" fillId="0" borderId="70" xfId="0" applyFont="1" applyFill="1" applyBorder="1" applyAlignment="1">
      <alignment horizontal="center" vertical="center" wrapText="1"/>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70" xfId="1" applyNumberFormat="1" applyFont="1" applyFill="1" applyBorder="1" applyAlignment="1" applyProtection="1">
      <alignment horizontal="center" vertical="center"/>
    </xf>
    <xf numFmtId="177" fontId="50" fillId="0" borderId="86" xfId="1" applyNumberFormat="1" applyFont="1" applyFill="1" applyBorder="1" applyAlignment="1" applyProtection="1">
      <alignment horizontal="center" vertical="center"/>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10" fillId="14" borderId="186" xfId="0" applyFont="1" applyFill="1" applyBorder="1" applyAlignment="1" applyProtection="1">
      <alignment horizontal="center" vertical="center" wrapText="1"/>
    </xf>
    <xf numFmtId="0" fontId="10" fillId="14" borderId="210" xfId="0" applyFont="1" applyFill="1" applyBorder="1" applyAlignment="1" applyProtection="1">
      <alignment horizontal="center" vertical="center" wrapText="1"/>
    </xf>
    <xf numFmtId="0" fontId="10" fillId="14" borderId="191" xfId="0" applyFont="1" applyFill="1" applyBorder="1" applyAlignment="1" applyProtection="1">
      <alignment horizontal="center" vertical="center" wrapText="1"/>
    </xf>
    <xf numFmtId="0" fontId="10" fillId="14" borderId="211" xfId="0" applyFont="1" applyFill="1" applyBorder="1" applyAlignment="1" applyProtection="1">
      <alignment horizontal="center" vertical="center" wrapText="1"/>
    </xf>
    <xf numFmtId="0" fontId="17" fillId="14" borderId="169" xfId="8" applyFont="1" applyFill="1" applyBorder="1" applyAlignment="1" applyProtection="1">
      <alignment horizontal="center" vertical="center" wrapText="1"/>
    </xf>
    <xf numFmtId="0" fontId="17" fillId="14" borderId="171" xfId="8" applyFont="1" applyFill="1" applyBorder="1" applyAlignment="1" applyProtection="1">
      <alignment horizontal="center" vertical="center" wrapText="1"/>
    </xf>
    <xf numFmtId="0" fontId="17" fillId="14" borderId="208"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175" xfId="8" applyFont="1" applyFill="1" applyBorder="1" applyAlignment="1" applyProtection="1">
      <alignment horizontal="center" vertical="center" wrapText="1"/>
    </xf>
    <xf numFmtId="0" fontId="17" fillId="14" borderId="207"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38" fillId="13" borderId="3" xfId="0" applyFont="1" applyFill="1" applyBorder="1" applyAlignment="1">
      <alignment horizontal="center" vertical="center"/>
    </xf>
    <xf numFmtId="0" fontId="38" fillId="13" borderId="86" xfId="0" applyFont="1" applyFill="1" applyBorder="1" applyAlignment="1">
      <alignment horizontal="center" vertical="center"/>
    </xf>
    <xf numFmtId="0" fontId="38" fillId="0" borderId="3" xfId="0" applyFont="1" applyFill="1" applyBorder="1" applyAlignment="1">
      <alignment horizontal="center" vertical="center"/>
    </xf>
    <xf numFmtId="0" fontId="38" fillId="0" borderId="86" xfId="0" applyFont="1" applyFill="1" applyBorder="1" applyAlignment="1">
      <alignment horizontal="center" vertical="center"/>
    </xf>
    <xf numFmtId="187" fontId="38" fillId="0" borderId="46" xfId="0" applyNumberFormat="1"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xf>
    <xf numFmtId="0" fontId="236" fillId="0" borderId="100" xfId="0" applyFont="1" applyFill="1" applyBorder="1" applyAlignment="1" applyProtection="1">
      <alignment horizontal="center" vertical="center" wrapText="1"/>
    </xf>
    <xf numFmtId="0" fontId="236" fillId="0" borderId="46" xfId="0" applyFont="1" applyFill="1" applyBorder="1" applyAlignment="1" applyProtection="1">
      <alignment horizontal="center" vertical="center" wrapText="1"/>
    </xf>
    <xf numFmtId="0" fontId="38" fillId="13" borderId="1"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86" xfId="0" applyFont="1" applyFill="1" applyBorder="1" applyAlignment="1">
      <alignment horizontal="center" vertical="center" wrapText="1"/>
    </xf>
    <xf numFmtId="41" fontId="38" fillId="0" borderId="9"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center" vertical="center"/>
    </xf>
    <xf numFmtId="0" fontId="214" fillId="11" borderId="12" xfId="0" applyFont="1" applyFill="1" applyBorder="1" applyAlignment="1" applyProtection="1">
      <alignment horizontal="center" vertical="center" wrapText="1"/>
    </xf>
    <xf numFmtId="0" fontId="214" fillId="11" borderId="16" xfId="0" applyFont="1" applyFill="1" applyBorder="1" applyAlignment="1" applyProtection="1">
      <alignment horizontal="center" vertical="center" wrapText="1"/>
    </xf>
    <xf numFmtId="0" fontId="214" fillId="11" borderId="3" xfId="0" applyFont="1" applyFill="1" applyBorder="1" applyAlignment="1" applyProtection="1">
      <alignment horizontal="center" vertical="center" wrapText="1"/>
    </xf>
    <xf numFmtId="0" fontId="214" fillId="11" borderId="10" xfId="0" applyFont="1" applyFill="1" applyBorder="1" applyAlignment="1" applyProtection="1">
      <alignment horizontal="center" vertical="center" wrapText="1"/>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6" xfId="0" applyFont="1" applyFill="1" applyBorder="1" applyAlignment="1" applyProtection="1">
      <alignment horizontal="center" vertical="center" wrapText="1"/>
    </xf>
    <xf numFmtId="0" fontId="14" fillId="0" borderId="108"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protection locked="0"/>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0" fillId="0" borderId="0" xfId="0" applyFont="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xf>
    <xf numFmtId="0" fontId="24" fillId="0" borderId="9" xfId="0" applyFont="1" applyFill="1" applyBorder="1" applyAlignment="1" applyProtection="1">
      <alignment horizontal="center" vertical="center"/>
    </xf>
    <xf numFmtId="0" fontId="24" fillId="0" borderId="6" xfId="0" applyFont="1" applyFill="1" applyBorder="1" applyAlignment="1" applyProtection="1">
      <alignment horizontal="center" vertical="center"/>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xf>
    <xf numFmtId="0" fontId="24" fillId="0" borderId="9"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14" fillId="0" borderId="87"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86"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20" fontId="24" fillId="0" borderId="5" xfId="0" applyNumberFormat="1" applyFont="1" applyFill="1" applyBorder="1" applyAlignment="1" applyProtection="1">
      <alignment horizontal="center" vertical="center" wrapText="1"/>
    </xf>
    <xf numFmtId="0" fontId="151" fillId="0" borderId="1" xfId="0"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24" fillId="0" borderId="9" xfId="8" applyFont="1" applyFill="1" applyBorder="1" applyAlignment="1" applyProtection="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17" fillId="0" borderId="11"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10" fontId="38" fillId="38" borderId="1" xfId="0" applyNumberFormat="1" applyFont="1" applyFill="1" applyBorder="1" applyAlignment="1" applyProtection="1">
      <alignment horizontal="center"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0"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38" fillId="14" borderId="1" xfId="85" applyFont="1" applyFill="1" applyBorder="1" applyAlignment="1">
      <alignment horizontal="right" vertical="center" wrapText="1"/>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0" fontId="38" fillId="0" borderId="1" xfId="0" applyFont="1" applyFill="1" applyBorder="1" applyAlignment="1">
      <alignment horizontal="center" vertical="center"/>
    </xf>
    <xf numFmtId="20" fontId="38" fillId="0" borderId="1" xfId="0" quotePrefix="1" applyNumberFormat="1" applyFont="1" applyFill="1" applyBorder="1" applyAlignment="1" applyProtection="1">
      <alignment horizontal="center" vertical="center"/>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quotePrefix="1" applyFont="1" applyFill="1" applyBorder="1" applyAlignment="1" applyProtection="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0" fontId="50" fillId="0" borderId="7" xfId="0" quotePrefix="1" applyFont="1" applyFill="1" applyBorder="1" applyAlignment="1" applyProtection="1">
      <alignment horizontal="center" vertical="center"/>
    </xf>
    <xf numFmtId="20" fontId="50" fillId="0" borderId="101" xfId="0" quotePrefix="1" applyNumberFormat="1" applyFont="1" applyFill="1" applyBorder="1" applyAlignment="1" applyProtection="1">
      <alignment horizontal="center" vertical="center"/>
    </xf>
    <xf numFmtId="20" fontId="50" fillId="0" borderId="100" xfId="0" quotePrefix="1" applyNumberFormat="1" applyFont="1" applyFill="1" applyBorder="1" applyAlignment="1" applyProtection="1">
      <alignment horizontal="center" vertical="center"/>
    </xf>
    <xf numFmtId="20" fontId="50" fillId="0" borderId="46" xfId="0" quotePrefix="1" applyNumberFormat="1" applyFont="1" applyFill="1" applyBorder="1" applyAlignment="1" applyProtection="1">
      <alignment horizontal="center" vertical="center"/>
    </xf>
    <xf numFmtId="0" fontId="38" fillId="0" borderId="108" xfId="0" applyFont="1" applyFill="1" applyBorder="1" applyAlignment="1" applyProtection="1">
      <alignment horizontal="center" vertical="center" wrapText="1"/>
      <protection locked="0"/>
    </xf>
    <xf numFmtId="0" fontId="38" fillId="0" borderId="106" xfId="0" applyFont="1" applyFill="1" applyBorder="1" applyAlignment="1" applyProtection="1">
      <alignment horizontal="center" vertical="center" wrapText="1"/>
      <protection locked="0"/>
    </xf>
    <xf numFmtId="0" fontId="38" fillId="0" borderId="108"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20" fontId="38" fillId="4" borderId="1" xfId="0" quotePrefix="1" applyNumberFormat="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24" fillId="0" borderId="12" xfId="8" applyFont="1" applyFill="1" applyBorder="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xf>
    <xf numFmtId="0" fontId="14" fillId="0" borderId="16" xfId="0" applyFont="1" applyFill="1" applyBorder="1" applyAlignment="1" applyProtection="1">
      <alignment horizontal="center" vertical="center" wrapText="1"/>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40" fillId="0" borderId="0" xfId="8" applyFont="1" applyFill="1" applyBorder="1" applyAlignment="1" applyProtection="1">
      <alignment horizontal="center" vertical="center" wrapText="1"/>
    </xf>
    <xf numFmtId="0" fontId="40" fillId="0" borderId="16" xfId="8" applyFont="1" applyFill="1" applyBorder="1" applyAlignment="1" applyProtection="1">
      <alignment horizontal="center" vertical="center" wrapText="1"/>
    </xf>
    <xf numFmtId="0" fontId="111" fillId="0" borderId="0" xfId="0" applyFont="1" applyFill="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alignment horizontal="center"/>
    </xf>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20" fontId="24" fillId="0" borderId="2" xfId="0" applyNumberFormat="1" applyFont="1" applyFill="1" applyBorder="1" applyAlignment="1" applyProtection="1">
      <alignment horizontal="center" vertical="center" wrapText="1"/>
    </xf>
    <xf numFmtId="0" fontId="24" fillId="0" borderId="2" xfId="0" applyFont="1" applyFill="1" applyBorder="1" applyAlignment="1" applyProtection="1">
      <alignment horizontal="center" vertical="center" wrapText="1"/>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6" xfId="0" applyFont="1" applyFill="1" applyBorder="1" applyAlignment="1">
      <alignment horizontal="center" vertical="center" wrapText="1"/>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1" fillId="0" borderId="5" xfId="0" applyFont="1" applyFill="1" applyBorder="1" applyAlignment="1" applyProtection="1">
      <alignment horizontal="center" vertical="center"/>
    </xf>
    <xf numFmtId="0" fontId="11" fillId="0" borderId="9" xfId="0" applyFont="1" applyFill="1" applyBorder="1" applyAlignment="1" applyProtection="1">
      <alignment horizontal="center" vertical="center"/>
    </xf>
    <xf numFmtId="0" fontId="11" fillId="0" borderId="6" xfId="0" applyFont="1" applyFill="1" applyBorder="1" applyAlignment="1" applyProtection="1">
      <alignment horizontal="center" vertical="center"/>
    </xf>
    <xf numFmtId="0" fontId="117" fillId="0" borderId="0" xfId="0" applyFont="1" applyFill="1" applyAlignment="1" applyProtection="1">
      <alignment horizontal="center" vertical="center" wrapText="1"/>
    </xf>
    <xf numFmtId="0" fontId="18" fillId="0" borderId="0" xfId="0"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121" fillId="0" borderId="3" xfId="0" applyFont="1" applyFill="1" applyBorder="1" applyAlignment="1" applyProtection="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30" fillId="0" borderId="2" xfId="8" applyFont="1" applyFill="1" applyBorder="1" applyAlignment="1" applyProtection="1">
      <alignment horizontal="center" vertical="center" wrapText="1"/>
    </xf>
    <xf numFmtId="0" fontId="63" fillId="0" borderId="2" xfId="0" applyFont="1" applyFill="1" applyBorder="1" applyAlignment="1" applyProtection="1">
      <alignment horizontal="center" vertical="center" wrapText="1"/>
    </xf>
    <xf numFmtId="0" fontId="63" fillId="0" borderId="2"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protection locked="0"/>
    </xf>
    <xf numFmtId="0" fontId="17" fillId="0" borderId="15"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4" fillId="0" borderId="13"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5"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0" fontId="191" fillId="0" borderId="5" xfId="0" applyFont="1" applyFill="1" applyBorder="1" applyAlignment="1" applyProtection="1">
      <alignment horizontal="center" vertical="center" wrapText="1"/>
      <protection locked="0"/>
    </xf>
    <xf numFmtId="0" fontId="191"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41" fontId="50" fillId="0" borderId="1" xfId="0" applyNumberFormat="1"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protection locked="0"/>
    </xf>
    <xf numFmtId="0" fontId="50" fillId="0" borderId="101" xfId="0" applyFont="1" applyFill="1" applyBorder="1" applyAlignment="1" applyProtection="1">
      <alignment horizontal="center" vertical="center" wrapText="1"/>
    </xf>
    <xf numFmtId="0" fontId="50" fillId="0" borderId="100" xfId="0" applyFont="1" applyFill="1" applyBorder="1" applyAlignment="1" applyProtection="1">
      <alignment horizontal="center" vertical="center" wrapText="1"/>
    </xf>
    <xf numFmtId="41" fontId="50" fillId="0" borderId="100" xfId="0" applyNumberFormat="1" applyFont="1" applyFill="1" applyBorder="1" applyAlignment="1" applyProtection="1">
      <alignment horizontal="center" vertical="center" wrapText="1"/>
      <protection locked="0"/>
    </xf>
    <xf numFmtId="41" fontId="50" fillId="0" borderId="106" xfId="0" applyNumberFormat="1" applyFont="1" applyFill="1" applyBorder="1" applyAlignment="1" applyProtection="1">
      <alignment horizontal="center" vertical="center" wrapText="1"/>
      <protection locked="0"/>
    </xf>
    <xf numFmtId="41" fontId="50" fillId="0" borderId="46" xfId="0" applyNumberFormat="1" applyFont="1" applyFill="1" applyBorder="1" applyAlignment="1" applyProtection="1">
      <alignment horizontal="center" vertical="center" wrapText="1"/>
      <protection locked="0"/>
    </xf>
    <xf numFmtId="41" fontId="50" fillId="0" borderId="101" xfId="0" applyNumberFormat="1" applyFont="1" applyFill="1" applyBorder="1" applyAlignment="1" applyProtection="1">
      <alignment horizontal="center" vertical="center" wrapText="1"/>
      <protection locked="0"/>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112" xfId="0" applyFont="1" applyFill="1" applyBorder="1" applyAlignment="1" applyProtection="1">
      <alignment horizontal="center" vertical="center"/>
    </xf>
    <xf numFmtId="0" fontId="50" fillId="0" borderId="155" xfId="0" applyFont="1" applyFill="1" applyBorder="1" applyAlignment="1" applyProtection="1">
      <alignment horizontal="center" vertical="center"/>
    </xf>
    <xf numFmtId="0" fontId="50" fillId="0" borderId="99" xfId="0" applyFont="1" applyFill="1" applyBorder="1" applyAlignment="1" applyProtection="1">
      <alignment horizontal="center" vertical="center"/>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6" xfId="0" applyFont="1" applyFill="1" applyBorder="1" applyAlignment="1">
      <alignment horizontal="center" vertical="center"/>
    </xf>
    <xf numFmtId="0" fontId="154" fillId="0" borderId="1" xfId="0" applyFont="1" applyFill="1" applyBorder="1" applyAlignment="1">
      <alignment horizontal="center" vertical="center"/>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71" fillId="6" borderId="0" xfId="0" applyFont="1" applyFill="1" applyAlignment="1">
      <alignment horizontal="center" vertical="center"/>
    </xf>
    <xf numFmtId="0" fontId="68" fillId="12" borderId="87" xfId="6" applyFont="1" applyFill="1" applyBorder="1" applyAlignment="1">
      <alignment horizontal="left"/>
    </xf>
    <xf numFmtId="0" fontId="68" fillId="12" borderId="69" xfId="6" applyFont="1" applyFill="1" applyBorder="1" applyAlignment="1">
      <alignment horizontal="left"/>
    </xf>
    <xf numFmtId="0" fontId="68" fillId="12" borderId="1" xfId="6" applyFont="1" applyFill="1" applyBorder="1" applyAlignment="1">
      <alignment horizontal="left"/>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0" fontId="52" fillId="0" borderId="1" xfId="4" applyFont="1" applyBorder="1" applyAlignment="1">
      <alignment horizontal="center" vertical="center"/>
    </xf>
    <xf numFmtId="0" fontId="53" fillId="11" borderId="10" xfId="8" applyFont="1" applyFill="1" applyBorder="1" applyAlignment="1" applyProtection="1">
      <alignment horizontal="center" vertical="center" wrapText="1"/>
    </xf>
    <xf numFmtId="0" fontId="53" fillId="11" borderId="13" xfId="8" applyFont="1" applyFill="1" applyBorder="1" applyAlignment="1" applyProtection="1">
      <alignment horizontal="center" vertical="center" wrapText="1"/>
    </xf>
    <xf numFmtId="0" fontId="53" fillId="11" borderId="8" xfId="8" applyFont="1" applyFill="1" applyBorder="1" applyAlignment="1" applyProtection="1">
      <alignment horizontal="center" vertical="center" wrapText="1"/>
    </xf>
    <xf numFmtId="0" fontId="53" fillId="11" borderId="12"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53" fillId="11" borderId="87" xfId="0" applyFont="1" applyFill="1" applyBorder="1" applyAlignment="1" applyProtection="1">
      <alignment horizontal="center" vertical="center" wrapText="1"/>
    </xf>
    <xf numFmtId="0" fontId="53" fillId="11" borderId="69" xfId="0" applyFont="1" applyFill="1" applyBorder="1" applyAlignment="1" applyProtection="1">
      <alignment horizontal="center" vertical="center" wrapText="1"/>
    </xf>
    <xf numFmtId="0" fontId="53" fillId="11" borderId="70" xfId="0" applyFont="1" applyFill="1" applyBorder="1" applyAlignment="1" applyProtection="1">
      <alignment horizontal="center" vertical="center" wrapText="1"/>
      <protection locked="0"/>
    </xf>
    <xf numFmtId="0" fontId="53" fillId="11" borderId="12" xfId="0" applyFont="1" applyFill="1" applyBorder="1" applyAlignment="1" applyProtection="1">
      <alignment horizontal="center" vertical="center" wrapText="1"/>
    </xf>
    <xf numFmtId="41" fontId="38" fillId="0" borderId="12" xfId="0" applyNumberFormat="1" applyFont="1" applyFill="1" applyBorder="1" applyAlignment="1" applyProtection="1">
      <alignment horizontal="center" vertical="center" wrapText="1"/>
      <protection locked="0"/>
    </xf>
    <xf numFmtId="41" fontId="38" fillId="0" borderId="3" xfId="0" applyNumberFormat="1" applyFont="1" applyFill="1" applyBorder="1" applyAlignment="1" applyProtection="1">
      <alignment horizontal="center" vertical="center" wrapText="1"/>
      <protection locked="0"/>
    </xf>
    <xf numFmtId="0" fontId="50" fillId="11" borderId="5" xfId="0" applyFont="1" applyFill="1" applyBorder="1" applyAlignment="1" applyProtection="1">
      <alignment horizontal="center" vertical="center" wrapText="1"/>
    </xf>
    <xf numFmtId="0" fontId="50" fillId="11" borderId="9" xfId="0" applyFont="1" applyFill="1" applyBorder="1" applyAlignment="1" applyProtection="1">
      <alignment horizontal="center" vertical="center" wrapText="1"/>
    </xf>
    <xf numFmtId="0" fontId="50" fillId="11" borderId="6" xfId="0" applyFont="1" applyFill="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0" fontId="65" fillId="0" borderId="1" xfId="0" applyFont="1" applyBorder="1" applyAlignment="1" applyProtection="1">
      <alignment horizontal="center" vertical="center" wrapText="1"/>
    </xf>
    <xf numFmtId="0" fontId="53" fillId="0" borderId="3" xfId="8" applyFont="1" applyFill="1" applyBorder="1" applyAlignment="1" applyProtection="1">
      <alignment horizontal="center" vertical="center" wrapText="1"/>
    </xf>
    <xf numFmtId="0" fontId="53" fillId="0" borderId="10" xfId="8" applyFont="1" applyFill="1" applyBorder="1" applyAlignment="1" applyProtection="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13" xfId="8" applyFont="1" applyFill="1" applyBorder="1" applyAlignment="1" applyProtection="1">
      <alignment horizontal="center" vertical="center" wrapText="1"/>
    </xf>
    <xf numFmtId="0" fontId="53" fillId="0" borderId="8" xfId="8" applyFont="1" applyFill="1" applyBorder="1" applyAlignment="1" applyProtection="1">
      <alignment horizontal="center" vertical="center" wrapText="1"/>
    </xf>
    <xf numFmtId="0" fontId="53" fillId="0" borderId="12" xfId="8" applyFont="1" applyFill="1" applyBorder="1" applyAlignment="1" applyProtection="1">
      <alignment horizontal="center" vertical="center" wrapText="1"/>
    </xf>
    <xf numFmtId="0" fontId="53" fillId="0" borderId="169" xfId="0" applyFont="1" applyFill="1" applyBorder="1" applyAlignment="1" applyProtection="1">
      <alignment horizontal="center" vertical="center" wrapText="1"/>
    </xf>
    <xf numFmtId="0" fontId="53" fillId="0" borderId="170" xfId="0" applyFont="1" applyFill="1" applyBorder="1" applyAlignment="1" applyProtection="1">
      <alignment horizontal="center" vertical="center" wrapText="1"/>
    </xf>
    <xf numFmtId="0" fontId="53" fillId="0" borderId="183" xfId="0" applyFont="1" applyFill="1" applyBorder="1" applyAlignment="1" applyProtection="1">
      <alignment horizontal="center" vertical="center" wrapText="1"/>
    </xf>
    <xf numFmtId="0" fontId="53" fillId="0" borderId="184" xfId="0" applyFont="1" applyFill="1" applyBorder="1" applyAlignment="1" applyProtection="1">
      <alignment horizontal="center" vertical="center" wrapText="1"/>
    </xf>
    <xf numFmtId="0" fontId="53" fillId="0" borderId="171" xfId="0" applyFont="1" applyFill="1" applyBorder="1" applyAlignment="1" applyProtection="1">
      <alignment horizontal="center" vertical="center" wrapText="1"/>
      <protection locked="0"/>
    </xf>
    <xf numFmtId="0" fontId="53" fillId="0" borderId="185" xfId="0" applyFont="1" applyFill="1" applyBorder="1" applyAlignment="1" applyProtection="1">
      <alignment horizontal="center" vertical="center" wrapText="1"/>
      <protection locked="0"/>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187" fontId="38" fillId="0" borderId="204" xfId="0" applyNumberFormat="1" applyFont="1" applyFill="1" applyBorder="1" applyAlignment="1" applyProtection="1">
      <alignment horizontal="center" vertical="center" wrapText="1"/>
      <protection locked="0"/>
    </xf>
    <xf numFmtId="187" fontId="38" fillId="0" borderId="206" xfId="0" applyNumberFormat="1" applyFont="1" applyFill="1" applyBorder="1" applyAlignment="1" applyProtection="1">
      <alignment horizontal="center" vertical="center" wrapText="1"/>
      <protection locked="0"/>
    </xf>
    <xf numFmtId="0" fontId="53" fillId="0" borderId="197" xfId="0" applyFont="1" applyBorder="1" applyAlignment="1" applyProtection="1">
      <alignment horizontal="center" vertical="center" wrapText="1"/>
    </xf>
    <xf numFmtId="0" fontId="53" fillId="0" borderId="198" xfId="0" applyFont="1" applyBorder="1" applyAlignment="1" applyProtection="1">
      <alignment horizontal="center" vertical="center" wrapText="1"/>
    </xf>
    <xf numFmtId="0" fontId="53" fillId="0" borderId="199" xfId="0" applyFont="1" applyBorder="1" applyAlignment="1" applyProtection="1">
      <alignment horizontal="center" vertical="center" wrapText="1"/>
    </xf>
    <xf numFmtId="187" fontId="38" fillId="0" borderId="202" xfId="0" applyNumberFormat="1" applyFont="1" applyFill="1" applyBorder="1" applyAlignment="1" applyProtection="1">
      <alignment horizontal="center" vertical="center" wrapText="1"/>
      <protection locked="0"/>
    </xf>
    <xf numFmtId="187" fontId="38" fillId="0" borderId="203" xfId="0" applyNumberFormat="1" applyFont="1" applyFill="1" applyBorder="1" applyAlignment="1" applyProtection="1">
      <alignment horizontal="center" vertical="center" wrapText="1"/>
      <protection locked="0"/>
    </xf>
    <xf numFmtId="0" fontId="65" fillId="0" borderId="5" xfId="0" applyFont="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0" fontId="60" fillId="0" borderId="1" xfId="0" applyFont="1" applyFill="1" applyBorder="1" applyAlignment="1">
      <alignment horizontal="center" vertical="center"/>
    </xf>
    <xf numFmtId="0" fontId="99" fillId="0" borderId="3" xfId="84" applyFill="1" applyBorder="1" applyAlignment="1" applyProtection="1">
      <alignment horizontal="center" vertical="center" wrapText="1"/>
    </xf>
    <xf numFmtId="0" fontId="99" fillId="0" borderId="86" xfId="84" applyFill="1" applyBorder="1" applyAlignment="1" applyProtection="1">
      <alignment horizontal="center" vertical="center" wrapText="1"/>
    </xf>
    <xf numFmtId="0" fontId="94" fillId="0" borderId="0" xfId="0" applyFont="1" applyFill="1" applyAlignment="1">
      <alignment horizontal="center" vertical="center" wrapText="1"/>
    </xf>
    <xf numFmtId="0" fontId="205" fillId="0" borderId="1" xfId="84" applyFont="1" applyFill="1" applyBorder="1" applyAlignment="1" applyProtection="1">
      <alignment horizontal="left" vertical="center"/>
    </xf>
    <xf numFmtId="0" fontId="205" fillId="0" borderId="3" xfId="84" applyFont="1" applyFill="1" applyBorder="1" applyAlignment="1" applyProtection="1">
      <alignment horizontal="left" vertical="center"/>
    </xf>
    <xf numFmtId="0" fontId="205" fillId="0" borderId="10" xfId="84" applyFont="1" applyFill="1" applyBorder="1" applyAlignment="1" applyProtection="1">
      <alignment horizontal="left" vertical="center"/>
    </xf>
    <xf numFmtId="0" fontId="205" fillId="0" borderId="86" xfId="84" applyFont="1" applyFill="1" applyBorder="1" applyAlignment="1" applyProtection="1">
      <alignment horizontal="left" vertical="center"/>
    </xf>
    <xf numFmtId="0" fontId="99" fillId="0" borderId="1" xfId="84" applyFill="1" applyBorder="1" applyAlignment="1" applyProtection="1">
      <alignment horizontal="left" vertical="center"/>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4377">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0000FF"/>
      <color rgb="FF99FF66"/>
      <color rgb="FFCCFF33"/>
      <color rgb="FFCCFF66"/>
      <color rgb="FF00FF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4.xml"/><Relationship Id="rId61"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hyperlink" Target="#MENU!A1"/></Relationships>
</file>

<file path=xl/drawings/_rels/drawing3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hyperlink" Target="#MENU!A1"/></Relationships>
</file>

<file path=xl/drawings/_rels/drawing4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3.xml.rels><?xml version="1.0" encoding="UTF-8" standalone="yes"?>
<Relationships xmlns="http://schemas.openxmlformats.org/package/2006/relationships"><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2.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352426</xdr:colOff>
      <xdr:row>21</xdr:row>
      <xdr:rowOff>202826</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81396</xdr:colOff>
      <xdr:row>0</xdr:row>
      <xdr:rowOff>274492</xdr:rowOff>
    </xdr:from>
    <xdr:to>
      <xdr:col>4</xdr:col>
      <xdr:colOff>17319</xdr:colOff>
      <xdr:row>1</xdr:row>
      <xdr:rowOff>305756</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895351" y="274492"/>
          <a:ext cx="801832" cy="464219"/>
        </a:xfrm>
        <a:prstGeom prst="rect">
          <a:avLst/>
        </a:prstGeom>
        <a:noFill/>
        <a:ln w="9525">
          <a:noFill/>
          <a:miter lim="800000"/>
          <a:headEnd/>
          <a:tailEnd/>
        </a:ln>
      </xdr:spPr>
    </xdr:pic>
    <xdr:clientData/>
  </xdr:twoCellAnchor>
  <xdr:twoCellAnchor editAs="oneCell">
    <xdr:from>
      <xdr:col>2</xdr:col>
      <xdr:colOff>238125</xdr:colOff>
      <xdr:row>40</xdr:row>
      <xdr:rowOff>376918</xdr:rowOff>
    </xdr:from>
    <xdr:to>
      <xdr:col>4</xdr:col>
      <xdr:colOff>103909</xdr:colOff>
      <xdr:row>41</xdr:row>
      <xdr:rowOff>335884</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1052080" y="23167645"/>
          <a:ext cx="731693" cy="478512"/>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108362</xdr:colOff>
      <xdr:row>38</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106754</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2</xdr:col>
      <xdr:colOff>66674</xdr:colOff>
      <xdr:row>0</xdr:row>
      <xdr:rowOff>276225</xdr:rowOff>
    </xdr:from>
    <xdr:to>
      <xdr:col>4</xdr:col>
      <xdr:colOff>259772</xdr:colOff>
      <xdr:row>1</xdr:row>
      <xdr:rowOff>350105</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915265" y="276225"/>
          <a:ext cx="695325" cy="437562"/>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1</xdr:col>
      <xdr:colOff>568903</xdr:colOff>
      <xdr:row>38</xdr:row>
      <xdr:rowOff>276225</xdr:rowOff>
    </xdr:from>
    <xdr:to>
      <xdr:col>4</xdr:col>
      <xdr:colOff>197843</xdr:colOff>
      <xdr:row>39</xdr:row>
      <xdr:rowOff>398318</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776721" y="23205498"/>
          <a:ext cx="771940" cy="48577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0</xdr:col>
      <xdr:colOff>133350</xdr:colOff>
      <xdr:row>38</xdr:row>
      <xdr:rowOff>66675</xdr:rowOff>
    </xdr:from>
    <xdr:to>
      <xdr:col>4</xdr:col>
      <xdr:colOff>106754</xdr:colOff>
      <xdr:row>38</xdr:row>
      <xdr:rowOff>66675</xdr:rowOff>
    </xdr:to>
    <xdr:pic>
      <xdr:nvPicPr>
        <xdr:cNvPr id="17"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78404" cy="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591167</xdr:colOff>
      <xdr:row>0</xdr:row>
      <xdr:rowOff>283153</xdr:rowOff>
    </xdr:from>
    <xdr:to>
      <xdr:col>4</xdr:col>
      <xdr:colOff>136813</xdr:colOff>
      <xdr:row>1</xdr:row>
      <xdr:rowOff>440129</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72167" y="283153"/>
          <a:ext cx="846241" cy="520658"/>
        </a:xfrm>
        <a:prstGeom prst="rect">
          <a:avLst/>
        </a:prstGeom>
        <a:noFill/>
        <a:ln w="9525">
          <a:noFill/>
          <a:miter lim="800000"/>
          <a:headEnd/>
          <a:tailEnd/>
        </a:ln>
      </xdr:spPr>
    </xdr:pic>
    <xdr:clientData/>
  </xdr:twoCellAnchor>
  <xdr:twoCellAnchor editAs="oneCell">
    <xdr:from>
      <xdr:col>1</xdr:col>
      <xdr:colOff>524740</xdr:colOff>
      <xdr:row>45</xdr:row>
      <xdr:rowOff>405244</xdr:rowOff>
    </xdr:from>
    <xdr:to>
      <xdr:col>4</xdr:col>
      <xdr:colOff>37481</xdr:colOff>
      <xdr:row>46</xdr:row>
      <xdr:rowOff>431068</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05740" y="23559653"/>
          <a:ext cx="791441" cy="494651"/>
        </a:xfrm>
        <a:prstGeom prst="rect">
          <a:avLst/>
        </a:prstGeom>
        <a:noFill/>
        <a:ln w="9525">
          <a:noFill/>
          <a:miter lim="800000"/>
          <a:headEnd/>
          <a:tailEnd/>
        </a:ln>
      </xdr:spPr>
    </xdr:pic>
    <xdr:clientData/>
  </xdr:twoCellAnchor>
  <xdr:twoCellAnchor editAs="oneCell">
    <xdr:from>
      <xdr:col>35</xdr:col>
      <xdr:colOff>435303</xdr:colOff>
      <xdr:row>0</xdr:row>
      <xdr:rowOff>352424</xdr:rowOff>
    </xdr:from>
    <xdr:to>
      <xdr:col>37</xdr:col>
      <xdr:colOff>363681</xdr:colOff>
      <xdr:row>1</xdr:row>
      <xdr:rowOff>477435</xdr:rowOff>
    </xdr:to>
    <xdr:pic>
      <xdr:nvPicPr>
        <xdr:cNvPr id="11" name="Picture 10"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804678" cy="486961"/>
        </a:xfrm>
        <a:prstGeom prst="rect">
          <a:avLst/>
        </a:prstGeom>
        <a:noFill/>
        <a:ln w="9525">
          <a:noFill/>
          <a:miter lim="800000"/>
          <a:headEnd/>
          <a:tailEnd/>
        </a:ln>
      </xdr:spPr>
    </xdr:pic>
    <xdr:clientData/>
  </xdr:twoCellAnchor>
  <xdr:twoCellAnchor editAs="oneCell">
    <xdr:from>
      <xdr:col>35</xdr:col>
      <xdr:colOff>207818</xdr:colOff>
      <xdr:row>45</xdr:row>
      <xdr:rowOff>277091</xdr:rowOff>
    </xdr:from>
    <xdr:to>
      <xdr:col>37</xdr:col>
      <xdr:colOff>136196</xdr:colOff>
      <xdr:row>46</xdr:row>
      <xdr:rowOff>291699</xdr:rowOff>
    </xdr:to>
    <xdr:pic>
      <xdr:nvPicPr>
        <xdr:cNvPr id="13" name="Picture 12"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781318" y="23708591"/>
          <a:ext cx="794287" cy="488693"/>
        </a:xfrm>
        <a:prstGeom prst="rect">
          <a:avLst/>
        </a:prstGeom>
        <a:noFill/>
        <a:ln w="9525">
          <a:noFill/>
          <a:miter lim="800000"/>
          <a:headEnd/>
          <a:tailEnd/>
        </a:ln>
      </xdr:spPr>
    </xdr:pic>
    <xdr:clientData/>
  </xdr:twoCellAnchor>
  <xdr:twoCellAnchor>
    <xdr:from>
      <xdr:col>30</xdr:col>
      <xdr:colOff>509984</xdr:colOff>
      <xdr:row>0</xdr:row>
      <xdr:rowOff>17322</xdr:rowOff>
    </xdr:from>
    <xdr:to>
      <xdr:col>32</xdr:col>
      <xdr:colOff>371439</xdr:colOff>
      <xdr:row>0</xdr:row>
      <xdr:rowOff>329045</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4884075" y="17322"/>
          <a:ext cx="762000"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435303</xdr:colOff>
      <xdr:row>0</xdr:row>
      <xdr:rowOff>352424</xdr:rowOff>
    </xdr:from>
    <xdr:to>
      <xdr:col>3</xdr:col>
      <xdr:colOff>363681</xdr:colOff>
      <xdr:row>1</xdr:row>
      <xdr:rowOff>477435</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794287" cy="488693"/>
        </a:xfrm>
        <a:prstGeom prst="rect">
          <a:avLst/>
        </a:prstGeom>
        <a:noFill/>
        <a:ln w="9525">
          <a:noFill/>
          <a:miter lim="800000"/>
          <a:headEnd/>
          <a:tailEnd/>
        </a:ln>
      </xdr:spPr>
    </xdr:pic>
    <xdr:clientData/>
  </xdr:twoCellAnchor>
  <xdr:twoCellAnchor editAs="oneCell">
    <xdr:from>
      <xdr:col>1</xdr:col>
      <xdr:colOff>195696</xdr:colOff>
      <xdr:row>35</xdr:row>
      <xdr:rowOff>318655</xdr:rowOff>
    </xdr:from>
    <xdr:to>
      <xdr:col>3</xdr:col>
      <xdr:colOff>277091</xdr:colOff>
      <xdr:row>36</xdr:row>
      <xdr:rowOff>373857</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6696" y="22918882"/>
          <a:ext cx="947304" cy="59206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23</xdr:row>
      <xdr:rowOff>0</xdr:rowOff>
    </xdr:from>
    <xdr:to>
      <xdr:col>36</xdr:col>
      <xdr:colOff>692726</xdr:colOff>
      <xdr:row>23</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41</xdr:row>
      <xdr:rowOff>0</xdr:rowOff>
    </xdr:from>
    <xdr:to>
      <xdr:col>36</xdr:col>
      <xdr:colOff>692726</xdr:colOff>
      <xdr:row>41</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59</xdr:row>
      <xdr:rowOff>0</xdr:rowOff>
    </xdr:from>
    <xdr:to>
      <xdr:col>36</xdr:col>
      <xdr:colOff>692726</xdr:colOff>
      <xdr:row>59</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34638</xdr:colOff>
      <xdr:row>137</xdr:row>
      <xdr:rowOff>536862</xdr:rowOff>
    </xdr:from>
    <xdr:to>
      <xdr:col>4</xdr:col>
      <xdr:colOff>1021774</xdr:colOff>
      <xdr:row>139</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144</xdr:row>
      <xdr:rowOff>34638</xdr:rowOff>
    </xdr:from>
    <xdr:to>
      <xdr:col>4</xdr:col>
      <xdr:colOff>727365</xdr:colOff>
      <xdr:row>147</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138</xdr:row>
      <xdr:rowOff>519544</xdr:rowOff>
    </xdr:from>
    <xdr:to>
      <xdr:col>5</xdr:col>
      <xdr:colOff>329046</xdr:colOff>
      <xdr:row>140</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143</xdr:row>
      <xdr:rowOff>17322</xdr:rowOff>
    </xdr:from>
    <xdr:to>
      <xdr:col>5</xdr:col>
      <xdr:colOff>173182</xdr:colOff>
      <xdr:row>144</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141</xdr:row>
      <xdr:rowOff>51955</xdr:rowOff>
    </xdr:from>
    <xdr:to>
      <xdr:col>4</xdr:col>
      <xdr:colOff>450273</xdr:colOff>
      <xdr:row>142</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116032</xdr:colOff>
      <xdr:row>0</xdr:row>
      <xdr:rowOff>205220</xdr:rowOff>
    </xdr:from>
    <xdr:to>
      <xdr:col>2</xdr:col>
      <xdr:colOff>173182</xdr:colOff>
      <xdr:row>1</xdr:row>
      <xdr:rowOff>268913</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410441" y="205220"/>
          <a:ext cx="749877" cy="4273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1</xdr:col>
      <xdr:colOff>378401</xdr:colOff>
      <xdr:row>0</xdr:row>
      <xdr:rowOff>258907</xdr:rowOff>
    </xdr:from>
    <xdr:to>
      <xdr:col>3</xdr:col>
      <xdr:colOff>103908</xdr:colOff>
      <xdr:row>1</xdr:row>
      <xdr:rowOff>321889</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90128" y="258907"/>
          <a:ext cx="678007" cy="426664"/>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227485</xdr:colOff>
      <xdr:row>0</xdr:row>
      <xdr:rowOff>300470</xdr:rowOff>
    </xdr:from>
    <xdr:to>
      <xdr:col>2</xdr:col>
      <xdr:colOff>17317</xdr:colOff>
      <xdr:row>1</xdr:row>
      <xdr:rowOff>340239</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608485" y="300470"/>
          <a:ext cx="655741" cy="403451"/>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24</xdr:col>
      <xdr:colOff>69273</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517072</xdr:colOff>
      <xdr:row>0</xdr:row>
      <xdr:rowOff>204107</xdr:rowOff>
    </xdr:from>
    <xdr:to>
      <xdr:col>2</xdr:col>
      <xdr:colOff>111456</xdr:colOff>
      <xdr:row>1</xdr:row>
      <xdr:rowOff>240165</xdr:rowOff>
    </xdr:to>
    <xdr:pic>
      <xdr:nvPicPr>
        <xdr:cNvPr id="3" name="Picture 2"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98072" y="204107"/>
          <a:ext cx="655741" cy="403451"/>
        </a:xfrm>
        <a:prstGeom prst="rect">
          <a:avLst/>
        </a:prstGeom>
        <a:no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editAs="oneCell">
    <xdr:from>
      <xdr:col>2</xdr:col>
      <xdr:colOff>-1</xdr:colOff>
      <xdr:row>0</xdr:row>
      <xdr:rowOff>242454</xdr:rowOff>
    </xdr:from>
    <xdr:to>
      <xdr:col>3</xdr:col>
      <xdr:colOff>257422</xdr:colOff>
      <xdr:row>1</xdr:row>
      <xdr:rowOff>316860</xdr:rowOff>
    </xdr:to>
    <xdr:pic>
      <xdr:nvPicPr>
        <xdr:cNvPr id="5" name="Picture 4"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744681" y="242454"/>
          <a:ext cx="655741" cy="403451"/>
        </a:xfrm>
        <a:prstGeom prst="rect">
          <a:avLst/>
        </a:prstGeom>
        <a:noFill/>
        <a:ln w="9525">
          <a:noFill/>
          <a:miter lim="800000"/>
          <a:headEnd/>
          <a:tailEn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1</xdr:col>
      <xdr:colOff>118630</xdr:colOff>
      <xdr:row>0</xdr:row>
      <xdr:rowOff>310861</xdr:rowOff>
    </xdr:from>
    <xdr:to>
      <xdr:col>2</xdr:col>
      <xdr:colOff>190500</xdr:colOff>
      <xdr:row>1</xdr:row>
      <xdr:rowOff>265455</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430357" y="310861"/>
          <a:ext cx="643370" cy="404867"/>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210168</xdr:colOff>
      <xdr:row>0</xdr:row>
      <xdr:rowOff>248516</xdr:rowOff>
    </xdr:from>
    <xdr:to>
      <xdr:col>2</xdr:col>
      <xdr:colOff>346363</xdr:colOff>
      <xdr:row>1</xdr:row>
      <xdr:rowOff>352216</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591168" y="248516"/>
          <a:ext cx="759650" cy="4673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23</xdr:col>
      <xdr:colOff>883227</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462643</xdr:colOff>
      <xdr:row>0</xdr:row>
      <xdr:rowOff>149678</xdr:rowOff>
    </xdr:from>
    <xdr:to>
      <xdr:col>2</xdr:col>
      <xdr:colOff>220313</xdr:colOff>
      <xdr:row>1</xdr:row>
      <xdr:rowOff>185736</xdr:rowOff>
    </xdr:to>
    <xdr:pic>
      <xdr:nvPicPr>
        <xdr:cNvPr id="4" name="Picture 3"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43643" y="149678"/>
          <a:ext cx="655741" cy="403451"/>
        </a:xfrm>
        <a:prstGeom prst="rect">
          <a:avLst/>
        </a:prstGeom>
        <a:noFill/>
        <a:ln w="9525">
          <a:noFill/>
          <a:miter lim="800000"/>
          <a:headEnd/>
          <a:tailEnd/>
        </a:ln>
      </xdr:spPr>
    </xdr:pic>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0</xdr:colOff>
      <xdr:row>222</xdr:row>
      <xdr:rowOff>0</xdr:rowOff>
    </xdr:from>
    <xdr:to>
      <xdr:col>11</xdr:col>
      <xdr:colOff>552450</xdr:colOff>
      <xdr:row>224</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5</xdr:col>
      <xdr:colOff>438150</xdr:colOff>
      <xdr:row>0</xdr:row>
      <xdr:rowOff>28575</xdr:rowOff>
    </xdr:from>
    <xdr:to>
      <xdr:col>6</xdr:col>
      <xdr:colOff>587952</xdr:colOff>
      <xdr:row>1</xdr:row>
      <xdr:rowOff>45893</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5362575" y="2857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165</xdr:row>
      <xdr:rowOff>11206</xdr:rowOff>
    </xdr:from>
    <xdr:to>
      <xdr:col>3</xdr:col>
      <xdr:colOff>11206</xdr:colOff>
      <xdr:row>167</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13</xdr:col>
      <xdr:colOff>612313</xdr:colOff>
      <xdr:row>12</xdr:row>
      <xdr:rowOff>122465</xdr:rowOff>
    </xdr:from>
    <xdr:to>
      <xdr:col>16</xdr:col>
      <xdr:colOff>342892</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2777099"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57</xdr:col>
      <xdr:colOff>0</xdr:colOff>
      <xdr:row>81</xdr:row>
      <xdr:rowOff>0</xdr:rowOff>
    </xdr:from>
    <xdr:to>
      <xdr:col>59</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39</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21</xdr:col>
      <xdr:colOff>225117</xdr:colOff>
      <xdr:row>0</xdr:row>
      <xdr:rowOff>0</xdr:rowOff>
    </xdr:from>
    <xdr:to>
      <xdr:col>22</xdr:col>
      <xdr:colOff>450254</xdr:colOff>
      <xdr:row>0</xdr:row>
      <xdr:rowOff>398318</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256799"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15</xdr:col>
      <xdr:colOff>242471</xdr:colOff>
      <xdr:row>0</xdr:row>
      <xdr:rowOff>0</xdr:rowOff>
    </xdr:from>
    <xdr:to>
      <xdr:col>15</xdr:col>
      <xdr:colOff>1004471</xdr:colOff>
      <xdr:row>0</xdr:row>
      <xdr:rowOff>398318</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9819426"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6.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643122</xdr:colOff>
      <xdr:row>0</xdr:row>
      <xdr:rowOff>283151</xdr:rowOff>
    </xdr:from>
    <xdr:to>
      <xdr:col>3</xdr:col>
      <xdr:colOff>190499</xdr:colOff>
      <xdr:row>1</xdr:row>
      <xdr:rowOff>344230</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37531" y="283151"/>
          <a:ext cx="690377" cy="424761"/>
        </a:xfrm>
        <a:prstGeom prst="rect">
          <a:avLst/>
        </a:prstGeom>
        <a:noFill/>
        <a:ln w="9525">
          <a:noFill/>
          <a:miter lim="800000"/>
          <a:headEnd/>
          <a:tailEnd/>
        </a:ln>
      </xdr:spPr>
    </xdr:pic>
    <xdr:clientData/>
  </xdr:twoCellAnchor>
  <xdr:twoCellAnchor editAs="oneCell">
    <xdr:from>
      <xdr:col>1</xdr:col>
      <xdr:colOff>680604</xdr:colOff>
      <xdr:row>42</xdr:row>
      <xdr:rowOff>353291</xdr:rowOff>
    </xdr:from>
    <xdr:to>
      <xdr:col>3</xdr:col>
      <xdr:colOff>225136</xdr:colOff>
      <xdr:row>43</xdr:row>
      <xdr:rowOff>246135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75013" y="23195973"/>
          <a:ext cx="687532" cy="429708"/>
        </a:xfrm>
        <a:prstGeom prst="rect">
          <a:avLst/>
        </a:prstGeom>
        <a:noFill/>
        <a:ln w="9525">
          <a:noFill/>
          <a:miter lim="800000"/>
          <a:headEnd/>
          <a:tailEnd/>
        </a:ln>
      </xdr:spPr>
    </xdr:pic>
    <xdr:clientData/>
  </xdr:twoCellAnchor>
  <xdr:twoCellAnchor>
    <xdr:from>
      <xdr:col>31</xdr:col>
      <xdr:colOff>103909</xdr:colOff>
      <xdr:row>0</xdr:row>
      <xdr:rowOff>17318</xdr:rowOff>
    </xdr:from>
    <xdr:to>
      <xdr:col>32</xdr:col>
      <xdr:colOff>536863</xdr:colOff>
      <xdr:row>0</xdr:row>
      <xdr:rowOff>329041</xdr:rowOff>
    </xdr:to>
    <xdr:sp macro="" textlink="">
      <xdr:nvSpPr>
        <xdr:cNvPr id="10" name="Left Arrow 9">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4910954" y="17318"/>
          <a:ext cx="762000"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editAs="oneCell">
    <xdr:from>
      <xdr:col>35</xdr:col>
      <xdr:colOff>435303</xdr:colOff>
      <xdr:row>0</xdr:row>
      <xdr:rowOff>352424</xdr:rowOff>
    </xdr:from>
    <xdr:to>
      <xdr:col>37</xdr:col>
      <xdr:colOff>363681</xdr:colOff>
      <xdr:row>1</xdr:row>
      <xdr:rowOff>477435</xdr:rowOff>
    </xdr:to>
    <xdr:pic>
      <xdr:nvPicPr>
        <xdr:cNvPr id="11" name="Picture 10"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684953" y="352424"/>
          <a:ext cx="804678" cy="486961"/>
        </a:xfrm>
        <a:prstGeom prst="rect">
          <a:avLst/>
        </a:prstGeom>
        <a:noFill/>
        <a:ln w="9525">
          <a:noFill/>
          <a:miter lim="800000"/>
          <a:headEnd/>
          <a:tailEnd/>
        </a:ln>
      </xdr:spPr>
    </xdr:pic>
    <xdr:clientData/>
  </xdr:twoCellAnchor>
  <xdr:twoCellAnchor editAs="oneCell">
    <xdr:from>
      <xdr:col>35</xdr:col>
      <xdr:colOff>207818</xdr:colOff>
      <xdr:row>42</xdr:row>
      <xdr:rowOff>277091</xdr:rowOff>
    </xdr:from>
    <xdr:to>
      <xdr:col>37</xdr:col>
      <xdr:colOff>136196</xdr:colOff>
      <xdr:row>43</xdr:row>
      <xdr:rowOff>291697</xdr:rowOff>
    </xdr:to>
    <xdr:pic>
      <xdr:nvPicPr>
        <xdr:cNvPr id="12" name="Picture 1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457468" y="23346641"/>
          <a:ext cx="804678" cy="481332"/>
        </a:xfrm>
        <a:prstGeom prst="rect">
          <a:avLst/>
        </a:prstGeom>
        <a:noFill/>
        <a:ln w="9525">
          <a:noFill/>
          <a:miter lim="800000"/>
          <a:headEnd/>
          <a:tailEnd/>
        </a:ln>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279440</xdr:colOff>
      <xdr:row>0</xdr:row>
      <xdr:rowOff>265834</xdr:rowOff>
    </xdr:from>
    <xdr:to>
      <xdr:col>3</xdr:col>
      <xdr:colOff>259772</xdr:colOff>
      <xdr:row>1</xdr:row>
      <xdr:rowOff>422810</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660440" y="265834"/>
          <a:ext cx="846241" cy="520658"/>
        </a:xfrm>
        <a:prstGeom prst="rect">
          <a:avLst/>
        </a:prstGeom>
        <a:noFill/>
        <a:ln w="9525">
          <a:noFill/>
          <a:miter lim="800000"/>
          <a:headEnd/>
          <a:tailEnd/>
        </a:ln>
      </xdr:spPr>
    </xdr:pic>
    <xdr:clientData/>
  </xdr:twoCellAnchor>
  <xdr:twoCellAnchor editAs="oneCell">
    <xdr:from>
      <xdr:col>1</xdr:col>
      <xdr:colOff>264967</xdr:colOff>
      <xdr:row>42</xdr:row>
      <xdr:rowOff>249382</xdr:rowOff>
    </xdr:from>
    <xdr:to>
      <xdr:col>3</xdr:col>
      <xdr:colOff>155863</xdr:colOff>
      <xdr:row>43</xdr:row>
      <xdr:rowOff>185522</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645967" y="23126700"/>
          <a:ext cx="756805" cy="473003"/>
        </a:xfrm>
        <a:prstGeom prst="rect">
          <a:avLst/>
        </a:prstGeom>
        <a:noFill/>
        <a:ln w="9525">
          <a:noFill/>
          <a:miter lim="800000"/>
          <a:headEnd/>
          <a:tailEnd/>
        </a:ln>
      </xdr:spPr>
    </xdr:pic>
    <xdr:clientData/>
  </xdr:twoCellAnchor>
  <xdr:twoCellAnchor>
    <xdr:from>
      <xdr:col>33</xdr:col>
      <xdr:colOff>415637</xdr:colOff>
      <xdr:row>1</xdr:row>
      <xdr:rowOff>123696</xdr:rowOff>
    </xdr:from>
    <xdr:to>
      <xdr:col>36</xdr:col>
      <xdr:colOff>415636</xdr:colOff>
      <xdr:row>2</xdr:row>
      <xdr:rowOff>61969</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6209819" y="48737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25</xdr:row>
      <xdr:rowOff>0</xdr:rowOff>
    </xdr:from>
    <xdr:to>
      <xdr:col>36</xdr:col>
      <xdr:colOff>692726</xdr:colOff>
      <xdr:row>25</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48</xdr:row>
      <xdr:rowOff>0</xdr:rowOff>
    </xdr:from>
    <xdr:to>
      <xdr:col>36</xdr:col>
      <xdr:colOff>692726</xdr:colOff>
      <xdr:row>48</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36</xdr:col>
      <xdr:colOff>692726</xdr:colOff>
      <xdr:row>68</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80</xdr:row>
      <xdr:rowOff>0</xdr:rowOff>
    </xdr:from>
    <xdr:to>
      <xdr:col>36</xdr:col>
      <xdr:colOff>692726</xdr:colOff>
      <xdr:row>80</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3</xdr:col>
      <xdr:colOff>367408</xdr:colOff>
      <xdr:row>0</xdr:row>
      <xdr:rowOff>163286</xdr:rowOff>
    </xdr:from>
    <xdr:to>
      <xdr:col>3</xdr:col>
      <xdr:colOff>1455964</xdr:colOff>
      <xdr:row>1</xdr:row>
      <xdr:rowOff>285750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2083158" y="163286"/>
          <a:ext cx="1088556" cy="612321"/>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HOA%20NGHIEM-2024062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7)-HOA%20NGHIEM-2023111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
      <sheetName val="4. Zn-Ni KH"/>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 val="3'.XT-C KH"/>
      <sheetName val="3''.XT-C KH"/>
      <sheetName val="SOP HOA NGHIEM"/>
    </sheetNames>
    <sheetDataSet>
      <sheetData sheetId="0"/>
      <sheetData sheetId="1"/>
      <sheetData sheetId="2"/>
      <sheetData sheetId="3"/>
      <sheetData sheetId="4"/>
      <sheetData sheetId="5"/>
      <sheetData sheetId="6"/>
      <sheetData sheetId="7"/>
      <sheetData sheetId="8"/>
      <sheetData sheetId="9"/>
      <sheetData sheetId="10"/>
      <sheetData sheetId="11">
        <row r="78">
          <cell r="E78" t="str">
            <v>40~60</v>
          </cell>
        </row>
        <row r="80">
          <cell r="E80" t="str">
            <v>40~60</v>
          </cell>
        </row>
      </sheetData>
      <sheetData sheetId="12"/>
      <sheetData sheetId="13"/>
      <sheetData sheetId="14"/>
      <sheetData sheetId="15"/>
      <sheetData sheetId="16">
        <row r="82">
          <cell r="E82" t="str">
            <v>50~70</v>
          </cell>
        </row>
        <row r="84">
          <cell r="E84" t="str">
            <v>50~70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row>
      </sheetData>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mau HALO"/>
      <sheetName val="3.XT-C kh.mau HALO (2)"/>
      <sheetName val="4. Zn-Ni"/>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Nồng độ   Cr2O3 （K) 三價鉻 
FINIDIP 124  (49)</v>
          </cell>
        </row>
      </sheetData>
      <sheetData sheetId="17">
        <row r="94">
          <cell r="C94" t="str">
            <v>Nồng độ   Cr2O3 （K) 三價鉻 
FINIDIP 124  (49)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6.bin"/><Relationship Id="rId1" Type="http://schemas.openxmlformats.org/officeDocument/2006/relationships/hyperlink" Target="..\..\..\2.%20Data%20hoa%20nghiem\1.%20PP%20H&#211;A%20NGHI&#7878;M%20C&#193;C%20B&#7890;N-XLBM\HCL-&#272;&#7846;U%20V&#192;O.xlsx" TargetMode="Externa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1.xml"/><Relationship Id="rId1" Type="http://schemas.openxmlformats.org/officeDocument/2006/relationships/printerSettings" Target="../printerSettings/printerSettings51.bin"/><Relationship Id="rId4" Type="http://schemas.openxmlformats.org/officeDocument/2006/relationships/comments" Target="../comments2.xml"/></Relationships>
</file>

<file path=xl/worksheets/_rels/sheet5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ZN-XM,XT.pdf" TargetMode="External"/><Relationship Id="rId13" Type="http://schemas.openxmlformats.org/officeDocument/2006/relationships/hyperlink" Target="..\..\..\2.%20Data%20hoa%20nghiem\1.%20PP%20H&#211;A%20NGHI&#7878;M%20C&#193;C%20B&#7890;N-XLBM\NaOH.pdf" TargetMode="External"/><Relationship Id="rId18" Type="http://schemas.openxmlformats.org/officeDocument/2006/relationships/hyperlink" Target="..\..\..\2.%20Data%20hoa%20nghiem\1.%20PP%20H&#211;A%20NGHI&#7878;M%20C&#193;C%20B&#7890;N-XLBM\HNO3-XM,%20XT.pdf" TargetMode="External"/><Relationship Id="rId26" Type="http://schemas.openxmlformats.org/officeDocument/2006/relationships/hyperlink" Target="../../../2.%20Data%20hoa%20nghiem/1.%20PP%20H&#211;A%20NGHI&#7878;M%20C&#193;C%20B&#7890;N-XLBM/HCL-RL.pdf" TargetMode="External"/><Relationship Id="rId39" Type="http://schemas.openxmlformats.org/officeDocument/2006/relationships/hyperlink" Target="..\..\..\2.%20Data%20hoa%20nghiem\1.%20PP%20H&#211;A%20NGHI&#7878;M%20C&#193;C%20B&#7890;N-XLBM\x&#273;-ch&#7845;t%20r&#7855;n.pdf" TargetMode="External"/><Relationship Id="rId3" Type="http://schemas.openxmlformats.org/officeDocument/2006/relationships/hyperlink" Target="..\..\..\2.%20Data%20hoa%20nghiem\1.%20PP%20H&#211;A%20NGHI&#7878;M%20C&#193;C%20B&#7890;N-XLBM\HCL-&#273;&#7863;c,%20lo&#227;ng-XM.pdf" TargetMode="External"/><Relationship Id="rId21" Type="http://schemas.openxmlformats.org/officeDocument/2006/relationships/hyperlink" Target="..\..\..\2.%20Data%20hoa%20nghiem\1.%20PP%20H&#211;A%20NGHI&#7878;M%20C&#193;C%20B&#7890;N-XLBM\M&#192;U%20K%20JASCO-ti&#234;u%20chu&#7849;n%20t&#225;c%20nghi&#7879;p%20hyprotech.pdf" TargetMode="External"/><Relationship Id="rId34" Type="http://schemas.openxmlformats.org/officeDocument/2006/relationships/hyperlink" Target="..\..\..\2.%20Data%20hoa%20nghiem\1.%20PP%20H&#211;A%20NGHI&#7878;M%20C&#193;C%20B&#7890;N-XLBM\NaOH.pdf" TargetMode="External"/><Relationship Id="rId42" Type="http://schemas.openxmlformats.org/officeDocument/2006/relationships/drawing" Target="../drawings/drawing52.xml"/><Relationship Id="rId7" Type="http://schemas.openxmlformats.org/officeDocument/2006/relationships/hyperlink" Target="..\..\..\2.%20Data%20hoa%20nghiem\1.%20PP%20H&#211;A%20NGHI&#7878;M%20C&#193;C%20B&#7890;N-XLBM\JASCO-XB,&#272;G-XL-1E.pdf" TargetMode="External"/><Relationship Id="rId12" Type="http://schemas.openxmlformats.org/officeDocument/2006/relationships/hyperlink" Target="..\..\..\2.%20Data%20hoa%20nghiem\1.%20PP%20H&#211;A%20NGHI&#7878;M%20C&#193;C%20B&#7890;N-XLBM\NaOH.pdf" TargetMode="External"/><Relationship Id="rId17" Type="http://schemas.openxmlformats.org/officeDocument/2006/relationships/hyperlink" Target="..\..\..\2.%20Data%20hoa%20nghiem\1.%20PP%20H&#211;A%20NGHI&#7878;M%20C&#193;C%20B&#7890;N-XLBM\CR3+-HALO.pdf" TargetMode="External"/><Relationship Id="rId25" Type="http://schemas.openxmlformats.org/officeDocument/2006/relationships/hyperlink" Target="..\..\..\2.%20Data%20hoa%20nghiem\1.%20PP%20H&#211;A%20NGHI&#7878;M%20C&#193;C%20B&#7890;N-XLBM\kh&#7917;%20d&#7847;u-RL.pdf" TargetMode="External"/><Relationship Id="rId33" Type="http://schemas.openxmlformats.org/officeDocument/2006/relationships/hyperlink" Target="../../../2.%20Data%20hoa%20nghiem/1.%20PP%20H&#211;A%20NGHI&#7878;M%20C&#193;C%20B&#7890;N-XLBM/HNO3-ML.pdf" TargetMode="External"/><Relationship Id="rId38" Type="http://schemas.openxmlformats.org/officeDocument/2006/relationships/hyperlink" Target="..\..\..\2.%20Data%20hoa%20nghiem\1.%20PP%20H&#211;A%20NGHI&#7878;M%20C&#193;C%20B&#7890;N-XLBM\x&#273;-t&#7893;ng%20chua.pdf" TargetMode="Externa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CR3+-HALO.pdf" TargetMode="External"/><Relationship Id="rId20" Type="http://schemas.openxmlformats.org/officeDocument/2006/relationships/hyperlink" Target="..\..\..\2.%20Data%20hoa%20nghiem\1.%20PP%20H&#211;A%20NGHI&#7878;M%20C&#193;C%20B&#7890;N-XLBM\HNO3-XM,%20XT.pdf" TargetMode="External"/><Relationship Id="rId29" Type="http://schemas.openxmlformats.org/officeDocument/2006/relationships/hyperlink" Target="../../../2.%20Data%20hoa%20nghiem/1.%20PP%20H&#211;A%20NGHI&#7878;M%20C&#193;C%20B&#7890;N-XLBM/H2SO4-ML.pdf" TargetMode="External"/><Relationship Id="rId41" Type="http://schemas.openxmlformats.org/officeDocument/2006/relationships/printerSettings" Target="../printerSettings/printerSettings52.bin"/><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JASCO-CR3+XT,XL-1E.pdf" TargetMode="External"/><Relationship Id="rId11" Type="http://schemas.openxmlformats.org/officeDocument/2006/relationships/hyperlink" Target="..\..\..\2.%20Data%20hoa%20nghiem\1.%20PP%20H&#211;A%20NGHI&#7878;M%20C&#193;C%20B&#7890;N-XLBM\JASCO-Ph&#432;&#417;ng%20ph&#225;p%20ph&#226;n%20t&#237;ch%20ZN-Ni-XT.pdf" TargetMode="External"/><Relationship Id="rId24" Type="http://schemas.openxmlformats.org/officeDocument/2006/relationships/hyperlink" Target="../../../2.%20Data%20hoa%20nghiem/1.%20PP%20H&#211;A%20NGHI&#7878;M%20C&#193;C%20B&#7890;N-XLBM/TA-photphat-RL.pdf" TargetMode="External"/><Relationship Id="rId32" Type="http://schemas.openxmlformats.org/officeDocument/2006/relationships/hyperlink" Target="..\..\..\2.%20Data%20hoa%20nghiem\1.%20PP%20H&#211;A%20NGHI&#7878;M%20C&#193;C%20B&#7890;N-XLBM\XB-ML.pdf" TargetMode="External"/><Relationship Id="rId37" Type="http://schemas.openxmlformats.org/officeDocument/2006/relationships/hyperlink" Target="..\..\..\2.%20Data%20hoa%20nghiem\1.%20PP%20H&#211;A%20NGHI&#7878;M%20C&#193;C%20B&#7890;N-XLBM\x&#273;-acid%20ph&#226;n%20ly.pdf" TargetMode="External"/><Relationship Id="rId40" Type="http://schemas.openxmlformats.org/officeDocument/2006/relationships/hyperlink" Target="..\..\..\2.%20Data%20hoa%20nghiem\1.%20PP%20H&#211;A%20NGHI&#7878;M%20C&#193;C%20B&#7890;N-XLBM\x&#273;-t&#7927;%20l&#7879;%20s&#7855;c%20t&#7889;.pdf" TargetMode="External"/><Relationship Id="rId5" Type="http://schemas.openxmlformats.org/officeDocument/2006/relationships/hyperlink" Target="..\..\..\2.%20Data%20hoa%20nghiem\1.%20PP%20H&#211;A%20NGHI&#7878;M%20C&#193;C%20B&#7890;N-XLBM\HCL%20&#273;&#7863;c,%20lo&#227;ng-XT.pdf" TargetMode="External"/><Relationship Id="rId15" Type="http://schemas.openxmlformats.org/officeDocument/2006/relationships/hyperlink" Target="..\..\..\2.%20Data%20hoa%20nghiem\1.%20PP%20H&#211;A%20NGHI&#7878;M%20C&#193;C%20B&#7890;N-XLBM\XB,&#272;G-1F,XT.pdf" TargetMode="External"/><Relationship Id="rId23" Type="http://schemas.openxmlformats.org/officeDocument/2006/relationships/hyperlink" Target="..\..\..\2.%20Data%20hoa%20nghiem\1.%20PP%20H&#211;A%20NGHI&#7878;M%20C&#193;C%20B&#7890;N-XLBM\M&#192;U%20K-1F,XT.pdf" TargetMode="External"/><Relationship Id="rId28" Type="http://schemas.openxmlformats.org/officeDocument/2006/relationships/hyperlink" Target="..\..\..\2.%20Data%20hoa%20nghiem\1.%20PP%20H&#211;A%20NGHI&#7878;M%20C&#193;C%20B&#7890;N-XLBM\Fe%20ph&#226;n%20ly-RL.pdf" TargetMode="External"/><Relationship Id="rId36" Type="http://schemas.openxmlformats.org/officeDocument/2006/relationships/hyperlink" Target="..\..\..\2.%20Data%20hoa%20nghiem\1.%20PP%20H&#211;A%20NGHI&#7878;M%20C&#193;C%20B&#7890;N-XLBM\x&#273;-xb2,3.pdf" TargetMode="Externa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HNO3-XM,%20XT.pdf" TargetMode="External"/><Relationship Id="rId31" Type="http://schemas.openxmlformats.org/officeDocument/2006/relationships/hyperlink" Target="../../../2.%20Data%20hoa%20nghiem/1.%20PP%20H&#211;A%20NGHI&#7878;M%20C&#193;C%20B&#7890;N-XLBM/&#273;&#243;ng%20l&#7895;-ML.pdf" TargetMode="External"/><Relationship Id="rId4" Type="http://schemas.openxmlformats.org/officeDocument/2006/relationships/hyperlink" Target="..\..\..\2.%20Data%20hoa%20nghiem\1.%20PP%20H&#211;A%20NGHI&#7878;M%20C&#193;C%20B&#7890;N-XLBM\HCL%20ho&#7841;t%20h&#243;a-xt,xm.pdf" TargetMode="External"/><Relationship Id="rId9" Type="http://schemas.openxmlformats.org/officeDocument/2006/relationships/hyperlink" Target="..\..\..\2.%20Data%20hoa%20nghiem\1.%20PP%20H&#211;A%20NGHI&#7878;M%20C&#193;C%20B&#7890;N-XLBM\ZN-XM,XT.pdf" TargetMode="External"/><Relationship Id="rId14" Type="http://schemas.openxmlformats.org/officeDocument/2006/relationships/hyperlink" Target="..\..\..\2.%20Data%20hoa%20nghiem\1.%20PP%20H&#211;A%20NGHI&#7878;M%20C&#193;C%20B&#7890;N-XLBM\NaOH.pdf" TargetMode="External"/><Relationship Id="rId22" Type="http://schemas.openxmlformats.org/officeDocument/2006/relationships/hyperlink" Target="..\..\..\2.%20Data%20hoa%20nghiem\1.%20PP%20H&#211;A%20NGHI&#7878;M%20C&#193;C%20B&#7890;N-XLBM\M&#192;U%20K-1F,XT.pdf" TargetMode="External"/><Relationship Id="rId27" Type="http://schemas.openxmlformats.org/officeDocument/2006/relationships/hyperlink" Target="../../../2.%20Data%20hoa%20nghiem/1.%20PP%20H&#211;A%20NGHI&#7878;M%20C&#193;C%20B&#7890;N-XLBM/t&#7927;%20l&#7879;%20acid-RL.pdf" TargetMode="External"/><Relationship Id="rId30" Type="http://schemas.openxmlformats.org/officeDocument/2006/relationships/hyperlink" Target="../../../2.%20Data%20hoa%20nghiem/1.%20PP%20H&#211;A%20NGHI&#7878;M%20C&#193;C%20B&#7890;N-XLBM/AL3+ML.pdf" TargetMode="External"/><Relationship Id="rId35" Type="http://schemas.openxmlformats.org/officeDocument/2006/relationships/hyperlink" Target="..\..\..\2.%20Data%20hoa%20nghiem\1.%20PP%20H&#211;A%20NGHI&#7878;M%20C&#193;C%20B&#7890;N-XLBM\x&#273;-xb1.pdf" TargetMode="External"/></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52" activePane="bottomRight" state="frozen"/>
      <selection pane="topRight" activeCell="B1" sqref="B1"/>
      <selection pane="bottomLeft" activeCell="A4" sqref="A4"/>
      <selection pane="bottomRight" activeCell="D77" sqref="D77"/>
    </sheetView>
  </sheetViews>
  <sheetFormatPr defaultRowHeight="15"/>
  <cols>
    <col min="1" max="1" width="10.125" style="887" customWidth="1"/>
    <col min="2" max="2" width="28.75" style="887" customWidth="1"/>
    <col min="3" max="3" width="16.375" style="887" customWidth="1"/>
    <col min="4" max="4" width="11.875" style="1284" customWidth="1"/>
    <col min="5" max="5" width="10.625" style="1284" customWidth="1"/>
    <col min="6" max="6" width="9" style="1277"/>
    <col min="7" max="7" width="9.875" style="887" customWidth="1"/>
    <col min="8" max="8" width="9" style="887" customWidth="1"/>
    <col min="9" max="16384" width="9" style="887"/>
  </cols>
  <sheetData>
    <row r="1" spans="1:9" ht="30" customHeight="1">
      <c r="B1" s="2904" t="s">
        <v>1218</v>
      </c>
      <c r="C1" s="2904"/>
      <c r="D1" s="2904"/>
      <c r="E1" s="2904"/>
      <c r="F1" s="2904"/>
      <c r="G1" s="2904"/>
      <c r="H1" s="2024"/>
    </row>
    <row r="2" spans="1:9" ht="16.5" customHeight="1">
      <c r="B2" s="1295" t="str">
        <f>MENU!AD9</f>
        <v>2024/08/01</v>
      </c>
      <c r="C2" s="1276"/>
      <c r="G2" s="2025">
        <v>0.29166666666666669</v>
      </c>
      <c r="H2" s="2025">
        <v>0.45833333333333331</v>
      </c>
      <c r="I2" s="2025">
        <v>0.54166666666666663</v>
      </c>
    </row>
    <row r="3" spans="1:9" ht="22.5" customHeight="1">
      <c r="A3" s="891" t="s">
        <v>1236</v>
      </c>
      <c r="B3" s="1363" t="s">
        <v>1195</v>
      </c>
      <c r="C3" s="1364" t="s">
        <v>1270</v>
      </c>
      <c r="D3" s="2907" t="s">
        <v>1227</v>
      </c>
      <c r="E3" s="2908"/>
      <c r="F3" s="1365" t="s">
        <v>1271</v>
      </c>
      <c r="G3" s="1364" t="s">
        <v>1198</v>
      </c>
      <c r="H3" s="1364"/>
    </row>
    <row r="4" spans="1:9" ht="24" customHeight="1">
      <c r="A4" s="1294" t="s">
        <v>1239</v>
      </c>
      <c r="B4" s="2905" t="s">
        <v>1249</v>
      </c>
      <c r="C4" s="889" t="s">
        <v>1199</v>
      </c>
      <c r="D4" s="1285" t="str">
        <f>'XM.GUI MAIL'!E17</f>
        <v>8~12</v>
      </c>
      <c r="E4" s="1285" t="str">
        <f>'XM.GUI MAIL'!F17</f>
        <v>(10±2)</v>
      </c>
      <c r="F4" s="1275" t="s">
        <v>1200</v>
      </c>
      <c r="G4" s="1351">
        <f>'XM.GUI MAIL'!I17</f>
        <v>0</v>
      </c>
      <c r="H4" s="1351">
        <f>'XM.GUI MAIL'!P17</f>
        <v>12.740000000000002</v>
      </c>
      <c r="I4" s="1351">
        <f>'XM.GUI MAIL'!W17</f>
        <v>12.48</v>
      </c>
    </row>
    <row r="5" spans="1:9" ht="24" customHeight="1">
      <c r="A5" s="1294" t="s">
        <v>1239</v>
      </c>
      <c r="B5" s="2906"/>
      <c r="C5" s="889" t="s">
        <v>1201</v>
      </c>
      <c r="D5" s="1285" t="str">
        <f>'XM.GUI MAIL'!E16</f>
        <v>130 - 150</v>
      </c>
      <c r="E5" s="1285" t="str">
        <f>'XM.GUI MAIL'!F16</f>
        <v>(140±7)</v>
      </c>
      <c r="F5" s="1275" t="s">
        <v>1200</v>
      </c>
      <c r="G5" s="1351">
        <f>'XM.GUI MAIL'!I16</f>
        <v>0</v>
      </c>
      <c r="H5" s="1351">
        <f>'XM.GUI MAIL'!P16</f>
        <v>133.6</v>
      </c>
      <c r="I5" s="1351">
        <f>'XM.GUI MAIL'!W16</f>
        <v>140.80000000000001</v>
      </c>
    </row>
    <row r="6" spans="1:9" ht="23.25" customHeight="1">
      <c r="A6" s="1294" t="s">
        <v>1239</v>
      </c>
      <c r="B6" s="2906"/>
      <c r="C6" s="1282" t="s">
        <v>1202</v>
      </c>
      <c r="D6" s="1286" t="s">
        <v>1228</v>
      </c>
      <c r="E6" s="1293"/>
      <c r="F6" s="1283" t="s">
        <v>1200</v>
      </c>
      <c r="G6" s="1352"/>
      <c r="H6" s="1352"/>
      <c r="I6" s="1352"/>
    </row>
    <row r="7" spans="1:9" ht="23.25" customHeight="1">
      <c r="A7" s="1294" t="s">
        <v>1239</v>
      </c>
      <c r="B7" s="2906"/>
      <c r="C7" s="1282" t="s">
        <v>1203</v>
      </c>
      <c r="D7" s="1287" t="s">
        <v>1204</v>
      </c>
      <c r="E7" s="1293"/>
      <c r="F7" s="1283" t="s">
        <v>1205</v>
      </c>
      <c r="G7" s="1352"/>
      <c r="H7" s="1352"/>
      <c r="I7" s="1352"/>
    </row>
    <row r="8" spans="1:9" ht="23.25" customHeight="1">
      <c r="A8" s="1294" t="s">
        <v>1239</v>
      </c>
      <c r="B8" s="2906"/>
      <c r="C8" s="1282" t="s">
        <v>1206</v>
      </c>
      <c r="D8" s="1287" t="s">
        <v>1204</v>
      </c>
      <c r="E8" s="1293"/>
      <c r="F8" s="1283" t="s">
        <v>1205</v>
      </c>
      <c r="G8" s="1352"/>
      <c r="H8" s="1352"/>
      <c r="I8" s="1352"/>
    </row>
    <row r="9" spans="1:9" ht="23.25" customHeight="1">
      <c r="A9" s="1294" t="s">
        <v>1239</v>
      </c>
      <c r="B9" s="2906"/>
      <c r="C9" s="1282" t="s">
        <v>1207</v>
      </c>
      <c r="D9" s="1287" t="s">
        <v>1204</v>
      </c>
      <c r="E9" s="1293"/>
      <c r="F9" s="1283" t="s">
        <v>1205</v>
      </c>
      <c r="G9" s="1352"/>
      <c r="H9" s="1352"/>
      <c r="I9" s="1352"/>
    </row>
    <row r="10" spans="1:9" ht="23.25" customHeight="1">
      <c r="A10" s="1294" t="s">
        <v>1239</v>
      </c>
      <c r="B10" s="2906"/>
      <c r="C10" s="1282" t="s">
        <v>1208</v>
      </c>
      <c r="D10" s="1287" t="s">
        <v>1204</v>
      </c>
      <c r="E10" s="1293"/>
      <c r="F10" s="1283" t="s">
        <v>1205</v>
      </c>
      <c r="G10" s="1352"/>
      <c r="H10" s="1352"/>
      <c r="I10" s="1352"/>
    </row>
    <row r="11" spans="1:9" ht="21" customHeight="1">
      <c r="A11" s="1294" t="s">
        <v>1239</v>
      </c>
      <c r="B11" s="2905" t="s">
        <v>1242</v>
      </c>
      <c r="C11" s="889" t="s">
        <v>1219</v>
      </c>
      <c r="D11" s="1285" t="str">
        <f>'XM.GUI MAIL'!E18</f>
        <v xml:space="preserve">12~18 </v>
      </c>
      <c r="E11" s="1285" t="str">
        <f>'XM.GUI MAIL'!F18</f>
        <v>(14±2)</v>
      </c>
      <c r="F11" s="1275" t="s">
        <v>1210</v>
      </c>
      <c r="G11" s="1351">
        <f>'XM.GUI MAIL'!I18</f>
        <v>0</v>
      </c>
      <c r="H11" s="1351">
        <f>'XM.GUI MAIL'!P18</f>
        <v>15.827338129496402</v>
      </c>
      <c r="I11" s="1351">
        <f>'XM.GUI MAIL'!W18</f>
        <v>15.827338129496402</v>
      </c>
    </row>
    <row r="12" spans="1:9" ht="24.75" customHeight="1">
      <c r="A12" s="1294" t="s">
        <v>1239</v>
      </c>
      <c r="B12" s="2906"/>
      <c r="C12" s="889" t="s">
        <v>1211</v>
      </c>
      <c r="D12" s="1288" t="str">
        <f>'XM.GUI MAIL'!E19</f>
        <v>1.5~1.9</v>
      </c>
      <c r="E12" s="1288" t="str">
        <f>'XM.GUI MAIL'!F19</f>
        <v>(1.7±0.1 )</v>
      </c>
      <c r="F12" s="1278" t="s">
        <v>1212</v>
      </c>
      <c r="G12" s="1351">
        <f>'XM.GUI MAIL'!I19</f>
        <v>0</v>
      </c>
      <c r="H12" s="1351">
        <f>'XM.GUI MAIL'!P19</f>
        <v>1.63</v>
      </c>
      <c r="I12" s="1351">
        <f>'XM.GUI MAIL'!W19</f>
        <v>1.64</v>
      </c>
    </row>
    <row r="13" spans="1:9" ht="23.25" customHeight="1">
      <c r="A13" s="1294" t="s">
        <v>1239</v>
      </c>
      <c r="B13" s="2906"/>
      <c r="C13" s="1282" t="s">
        <v>1203</v>
      </c>
      <c r="D13" s="1289" t="s">
        <v>1220</v>
      </c>
      <c r="E13" s="1293"/>
      <c r="F13" s="1283" t="s">
        <v>1205</v>
      </c>
      <c r="G13" s="1352"/>
      <c r="H13" s="1352"/>
      <c r="I13" s="1352"/>
    </row>
    <row r="14" spans="1:9" ht="23.25" customHeight="1">
      <c r="A14" s="1294" t="s">
        <v>1239</v>
      </c>
      <c r="B14" s="2906"/>
      <c r="C14" s="1282" t="s">
        <v>1206</v>
      </c>
      <c r="D14" s="1289" t="s">
        <v>1221</v>
      </c>
      <c r="E14" s="1293"/>
      <c r="F14" s="1283" t="s">
        <v>1205</v>
      </c>
      <c r="G14" s="1352"/>
      <c r="H14" s="1352"/>
      <c r="I14" s="1352"/>
    </row>
    <row r="15" spans="1:9" ht="23.25" customHeight="1">
      <c r="A15" s="1294" t="s">
        <v>1239</v>
      </c>
      <c r="B15" s="2906"/>
      <c r="C15" s="1282" t="s">
        <v>1214</v>
      </c>
      <c r="D15" s="1290" t="s">
        <v>1414</v>
      </c>
      <c r="E15" s="1293"/>
      <c r="F15" s="1283" t="s">
        <v>1205</v>
      </c>
      <c r="G15" s="1352"/>
      <c r="H15" s="1352"/>
      <c r="I15" s="1352"/>
    </row>
    <row r="16" spans="1:9" ht="20.25" customHeight="1">
      <c r="A16" s="1294" t="s">
        <v>1239</v>
      </c>
      <c r="B16" s="2905" t="s">
        <v>1230</v>
      </c>
      <c r="C16" s="889" t="s">
        <v>1209</v>
      </c>
      <c r="D16" s="1285" t="str">
        <f>'XM.GUI MAIL'!E24</f>
        <v>5~10</v>
      </c>
      <c r="E16" s="1285" t="str">
        <f>'XM.GUI MAIL'!F24</f>
        <v>(7.5±1)</v>
      </c>
      <c r="F16" s="1275" t="s">
        <v>1210</v>
      </c>
      <c r="G16" s="1351" t="str">
        <f>'XM.GUI MAIL'!I24</f>
        <v/>
      </c>
      <c r="H16" s="1351" t="str">
        <f>'XM.GUI MAIL'!I24</f>
        <v/>
      </c>
      <c r="I16" s="1351">
        <f>'XM.GUI MAIL'!W24</f>
        <v>7.6923076923076916</v>
      </c>
    </row>
    <row r="17" spans="1:9" ht="23.25" customHeight="1">
      <c r="A17" s="1294" t="s">
        <v>1239</v>
      </c>
      <c r="B17" s="2906"/>
      <c r="C17" s="889" t="s">
        <v>1211</v>
      </c>
      <c r="D17" s="1288" t="str">
        <f>'XM.GUI MAIL'!E25</f>
        <v>2.0~2.4</v>
      </c>
      <c r="E17" s="1288" t="str">
        <f>'XM.GUI MAIL'!F25</f>
        <v>(2.2±0.1)</v>
      </c>
      <c r="F17" s="1278" t="s">
        <v>1212</v>
      </c>
      <c r="G17" s="1351">
        <f>'XM.GUI MAIL'!I25</f>
        <v>0</v>
      </c>
      <c r="H17" s="1351">
        <f>'XM.GUI MAIL'!I25</f>
        <v>0</v>
      </c>
      <c r="I17" s="1351">
        <f>'XM.GUI MAIL'!W25</f>
        <v>2.2599999999999998</v>
      </c>
    </row>
    <row r="18" spans="1:9" ht="23.25" customHeight="1">
      <c r="A18" s="1294" t="s">
        <v>1239</v>
      </c>
      <c r="B18" s="2906"/>
      <c r="C18" s="1282" t="s">
        <v>1203</v>
      </c>
      <c r="D18" s="1290" t="s">
        <v>1418</v>
      </c>
      <c r="E18" s="1290"/>
      <c r="F18" s="1283" t="s">
        <v>1205</v>
      </c>
      <c r="G18" s="1282"/>
      <c r="H18" s="2026"/>
      <c r="I18" s="2026"/>
    </row>
    <row r="19" spans="1:9" ht="23.25" customHeight="1">
      <c r="A19" s="1294" t="s">
        <v>1239</v>
      </c>
      <c r="B19" s="2906"/>
      <c r="C19" s="1282" t="s">
        <v>1206</v>
      </c>
      <c r="D19" s="1290" t="s">
        <v>1415</v>
      </c>
      <c r="E19" s="1290"/>
      <c r="F19" s="1283" t="s">
        <v>1205</v>
      </c>
      <c r="G19" s="1282"/>
      <c r="H19" s="2026"/>
      <c r="I19" s="2026"/>
    </row>
    <row r="20" spans="1:9" ht="23.25" customHeight="1">
      <c r="A20" s="1294" t="s">
        <v>1239</v>
      </c>
      <c r="B20" s="2906"/>
      <c r="C20" s="1282" t="s">
        <v>1214</v>
      </c>
      <c r="D20" s="1290" t="s">
        <v>1419</v>
      </c>
      <c r="E20" s="1290"/>
      <c r="F20" s="1283" t="s">
        <v>1205</v>
      </c>
      <c r="G20" s="1282"/>
      <c r="H20" s="2026"/>
      <c r="I20" s="2026"/>
    </row>
    <row r="21" spans="1:9" ht="15" customHeight="1">
      <c r="B21" s="1279"/>
      <c r="C21" s="1280"/>
      <c r="D21" s="1291"/>
      <c r="E21" s="1291"/>
      <c r="F21" s="1281"/>
      <c r="G21" s="1280"/>
      <c r="H21" s="1280"/>
      <c r="I21" s="1280"/>
    </row>
    <row r="22" spans="1:9" ht="22.5" customHeight="1">
      <c r="B22" s="1363" t="s">
        <v>1195</v>
      </c>
      <c r="C22" s="1364" t="s">
        <v>1270</v>
      </c>
      <c r="D22" s="2907" t="s">
        <v>1227</v>
      </c>
      <c r="E22" s="2908"/>
      <c r="F22" s="1365" t="s">
        <v>1271</v>
      </c>
      <c r="G22" s="1364" t="s">
        <v>1198</v>
      </c>
      <c r="H22" s="2027"/>
      <c r="I22" s="2027"/>
    </row>
    <row r="23" spans="1:9" ht="21.75" customHeight="1">
      <c r="A23" s="887" t="s">
        <v>1237</v>
      </c>
      <c r="B23" s="2905" t="s">
        <v>1231</v>
      </c>
      <c r="C23" s="889" t="s">
        <v>1199</v>
      </c>
      <c r="D23" s="1285" t="str">
        <f>'XM.GUI MAIL'!E52</f>
        <v>8~12</v>
      </c>
      <c r="E23" s="1285" t="str">
        <f>'XM.GUI MAIL'!F52</f>
        <v>(10±2)</v>
      </c>
      <c r="F23" s="1275" t="s">
        <v>1200</v>
      </c>
      <c r="G23" s="1351">
        <f>'XM.GUI MAIL'!I52</f>
        <v>10.01</v>
      </c>
      <c r="H23" s="1351">
        <f>'XM.GUI MAIL'!P52</f>
        <v>9.75</v>
      </c>
      <c r="I23" s="1351">
        <f>'XM.GUI MAIL'!W52</f>
        <v>9.75</v>
      </c>
    </row>
    <row r="24" spans="1:9" ht="21.75" customHeight="1">
      <c r="A24" s="887" t="s">
        <v>1237</v>
      </c>
      <c r="B24" s="2906"/>
      <c r="C24" s="889" t="s">
        <v>1201</v>
      </c>
      <c r="D24" s="1285" t="str">
        <f>'XM.GUI MAIL'!E51</f>
        <v>130 - 150</v>
      </c>
      <c r="E24" s="1285" t="str">
        <f>'XM.GUI MAIL'!F51</f>
        <v>(140±7)</v>
      </c>
      <c r="F24" s="1275" t="s">
        <v>1200</v>
      </c>
      <c r="G24" s="1351">
        <f>'XM.GUI MAIL'!I51</f>
        <v>144.80000000000001</v>
      </c>
      <c r="H24" s="1351">
        <f>'XM.GUI MAIL'!P51</f>
        <v>144.80000000000001</v>
      </c>
      <c r="I24" s="1351">
        <f>'XM.GUI MAIL'!W51</f>
        <v>143.19999999999999</v>
      </c>
    </row>
    <row r="25" spans="1:9" ht="23.25" customHeight="1">
      <c r="A25" s="887" t="s">
        <v>1237</v>
      </c>
      <c r="B25" s="2906"/>
      <c r="C25" s="1282" t="s">
        <v>1202</v>
      </c>
      <c r="D25" s="1286" t="s">
        <v>1409</v>
      </c>
      <c r="E25" s="1286"/>
      <c r="F25" s="1283" t="s">
        <v>1200</v>
      </c>
      <c r="G25" s="1352"/>
      <c r="H25" s="1352"/>
      <c r="I25" s="1352"/>
    </row>
    <row r="26" spans="1:9" ht="23.25" customHeight="1">
      <c r="A26" s="887" t="s">
        <v>1237</v>
      </c>
      <c r="B26" s="2906"/>
      <c r="C26" s="1282" t="s">
        <v>1203</v>
      </c>
      <c r="D26" s="1287" t="s">
        <v>1204</v>
      </c>
      <c r="E26" s="1287"/>
      <c r="F26" s="1283" t="s">
        <v>1205</v>
      </c>
      <c r="G26" s="1352"/>
      <c r="H26" s="1352"/>
      <c r="I26" s="1352"/>
    </row>
    <row r="27" spans="1:9" ht="23.25" customHeight="1">
      <c r="A27" s="887" t="s">
        <v>1237</v>
      </c>
      <c r="B27" s="2906"/>
      <c r="C27" s="1282" t="s">
        <v>1206</v>
      </c>
      <c r="D27" s="1287" t="s">
        <v>1204</v>
      </c>
      <c r="E27" s="1287"/>
      <c r="F27" s="1283" t="s">
        <v>1205</v>
      </c>
      <c r="G27" s="1352"/>
      <c r="H27" s="1352"/>
      <c r="I27" s="1352"/>
    </row>
    <row r="28" spans="1:9" ht="23.25" customHeight="1">
      <c r="A28" s="887" t="s">
        <v>1237</v>
      </c>
      <c r="B28" s="2906"/>
      <c r="C28" s="1282" t="s">
        <v>1207</v>
      </c>
      <c r="D28" s="1287" t="s">
        <v>1204</v>
      </c>
      <c r="E28" s="1287"/>
      <c r="F28" s="1283" t="s">
        <v>1205</v>
      </c>
      <c r="G28" s="1352"/>
      <c r="H28" s="1352"/>
      <c r="I28" s="1352"/>
    </row>
    <row r="29" spans="1:9" ht="23.25" customHeight="1">
      <c r="A29" s="887" t="s">
        <v>1237</v>
      </c>
      <c r="B29" s="2906"/>
      <c r="C29" s="1282" t="s">
        <v>1208</v>
      </c>
      <c r="D29" s="1287" t="s">
        <v>1204</v>
      </c>
      <c r="E29" s="1287"/>
      <c r="F29" s="1283" t="s">
        <v>1205</v>
      </c>
      <c r="G29" s="1352"/>
      <c r="H29" s="1352"/>
      <c r="I29" s="1352"/>
    </row>
    <row r="30" spans="1:9" ht="21" customHeight="1">
      <c r="A30" s="887" t="s">
        <v>1237</v>
      </c>
      <c r="B30" s="2905" t="s">
        <v>1566</v>
      </c>
      <c r="C30" s="889" t="s">
        <v>1215</v>
      </c>
      <c r="D30" s="1285" t="str">
        <f>'XM.GUI MAIL'!E53</f>
        <v xml:space="preserve">6~10 </v>
      </c>
      <c r="E30" s="1285" t="str">
        <f>'XM.GUI MAIL'!F53</f>
        <v>(7±1)</v>
      </c>
      <c r="F30" s="1275" t="s">
        <v>1210</v>
      </c>
      <c r="G30" s="1351">
        <f>'XM.GUI MAIL'!I53</f>
        <v>7.2160500000000001</v>
      </c>
      <c r="H30" s="1351">
        <f>'XM.GUI MAIL'!P53</f>
        <v>7.13131</v>
      </c>
      <c r="I30" s="1351">
        <f>'XM.GUI MAIL'!W53</f>
        <v>7.2160500000000001</v>
      </c>
    </row>
    <row r="31" spans="1:9" ht="21" customHeight="1">
      <c r="A31" s="887" t="s">
        <v>1237</v>
      </c>
      <c r="B31" s="2906"/>
      <c r="C31" s="889" t="s">
        <v>1211</v>
      </c>
      <c r="D31" s="1288" t="str">
        <f>'XM.GUI MAIL'!E54</f>
        <v>2~2.5</v>
      </c>
      <c r="E31" s="1288" t="str">
        <f>'XM.GUI MAIL'!F54</f>
        <v>(2.3±0.1 )</v>
      </c>
      <c r="F31" s="1278" t="s">
        <v>1212</v>
      </c>
      <c r="G31" s="1351">
        <f>'XM.GUI MAIL'!I54</f>
        <v>2.23</v>
      </c>
      <c r="H31" s="1351">
        <f>'XM.GUI MAIL'!P54</f>
        <v>2.2400000000000002</v>
      </c>
      <c r="I31" s="1351">
        <f>'XM.GUI MAIL'!W54</f>
        <v>2.35</v>
      </c>
    </row>
    <row r="32" spans="1:9" ht="23.25" customHeight="1">
      <c r="A32" s="887" t="s">
        <v>1237</v>
      </c>
      <c r="B32" s="2906"/>
      <c r="C32" s="1282" t="s">
        <v>1203</v>
      </c>
      <c r="D32" s="1289" t="s">
        <v>1407</v>
      </c>
      <c r="E32" s="1289"/>
      <c r="F32" s="1283" t="s">
        <v>1205</v>
      </c>
      <c r="G32" s="1352"/>
      <c r="H32" s="1352"/>
      <c r="I32" s="1352"/>
    </row>
    <row r="33" spans="1:9" ht="23.25" customHeight="1">
      <c r="A33" s="887" t="s">
        <v>1237</v>
      </c>
      <c r="B33" s="2906"/>
      <c r="C33" s="1282" t="s">
        <v>1206</v>
      </c>
      <c r="D33" s="1290"/>
      <c r="E33" s="1289"/>
      <c r="F33" s="1283" t="s">
        <v>1205</v>
      </c>
      <c r="G33" s="1352"/>
      <c r="H33" s="1352"/>
      <c r="I33" s="1352"/>
    </row>
    <row r="34" spans="1:9" ht="23.25" customHeight="1">
      <c r="A34" s="887" t="s">
        <v>1237</v>
      </c>
      <c r="B34" s="2906"/>
      <c r="C34" s="1282" t="s">
        <v>1214</v>
      </c>
      <c r="D34" s="1290" t="s">
        <v>1417</v>
      </c>
      <c r="E34" s="1290"/>
      <c r="F34" s="1283" t="s">
        <v>1205</v>
      </c>
      <c r="G34" s="1352"/>
      <c r="H34" s="1352"/>
      <c r="I34" s="1352"/>
    </row>
    <row r="35" spans="1:9" ht="18" customHeight="1">
      <c r="A35" s="887" t="s">
        <v>1237</v>
      </c>
      <c r="B35" s="2905" t="s">
        <v>1240</v>
      </c>
      <c r="C35" s="889" t="s">
        <v>1216</v>
      </c>
      <c r="D35" s="1285" t="str">
        <f>'XM.GUI MAIL'!E59</f>
        <v>5~8</v>
      </c>
      <c r="E35" s="1285" t="str">
        <f>'XM.GUI MAIL'!F59</f>
        <v>(6±0.5)</v>
      </c>
      <c r="F35" s="1275" t="s">
        <v>1210</v>
      </c>
      <c r="G35" s="1351">
        <f>'XM.GUI MAIL'!I59</f>
        <v>7.2000000000000011</v>
      </c>
      <c r="H35" s="1351">
        <f>'XM.GUI MAIL'!I59</f>
        <v>7.2000000000000011</v>
      </c>
      <c r="I35" s="1351" t="str">
        <f>'XM.GUI MAIL'!W59</f>
        <v>ko sx</v>
      </c>
    </row>
    <row r="36" spans="1:9" ht="18" customHeight="1">
      <c r="A36" s="887" t="s">
        <v>1237</v>
      </c>
      <c r="B36" s="2906"/>
      <c r="C36" s="889" t="s">
        <v>1211</v>
      </c>
      <c r="D36" s="1288" t="str">
        <f>'XM.GUI MAIL'!E60</f>
        <v>1.8~2.4</v>
      </c>
      <c r="E36" s="1288" t="str">
        <f>'XM.GUI MAIL'!F60</f>
        <v>(2.1±0.1 )</v>
      </c>
      <c r="F36" s="1278" t="s">
        <v>1212</v>
      </c>
      <c r="G36" s="1351">
        <f>'XM.GUI MAIL'!I60</f>
        <v>2.0299999999999998</v>
      </c>
      <c r="H36" s="1351">
        <f>'XM.GUI MAIL'!I60</f>
        <v>2.0299999999999998</v>
      </c>
      <c r="I36" s="1351" t="str">
        <f>'XM.GUI MAIL'!W60</f>
        <v>ko sx</v>
      </c>
    </row>
    <row r="37" spans="1:9" ht="23.25" customHeight="1">
      <c r="A37" s="887" t="s">
        <v>1237</v>
      </c>
      <c r="B37" s="2906"/>
      <c r="C37" s="1282" t="s">
        <v>1203</v>
      </c>
      <c r="D37" s="1290">
        <v>150</v>
      </c>
      <c r="E37" s="1290"/>
      <c r="F37" s="1283" t="s">
        <v>1205</v>
      </c>
      <c r="G37" s="1282"/>
      <c r="H37" s="2026"/>
      <c r="I37" s="2026"/>
    </row>
    <row r="38" spans="1:9" ht="23.25" customHeight="1">
      <c r="A38" s="887" t="s">
        <v>1237</v>
      </c>
      <c r="B38" s="2906"/>
      <c r="C38" s="1282" t="s">
        <v>1206</v>
      </c>
      <c r="D38" s="1290"/>
      <c r="E38" s="1290"/>
      <c r="F38" s="1283" t="s">
        <v>1205</v>
      </c>
      <c r="G38" s="1282"/>
      <c r="H38" s="2026"/>
      <c r="I38" s="2026"/>
    </row>
    <row r="39" spans="1:9" ht="23.25" customHeight="1">
      <c r="A39" s="887" t="s">
        <v>1237</v>
      </c>
      <c r="B39" s="2906"/>
      <c r="C39" s="1282" t="s">
        <v>1214</v>
      </c>
      <c r="D39" s="1290" t="s">
        <v>1416</v>
      </c>
      <c r="E39" s="1290"/>
      <c r="F39" s="1283" t="s">
        <v>1205</v>
      </c>
      <c r="G39" s="1282"/>
      <c r="H39" s="2026"/>
      <c r="I39" s="2026"/>
    </row>
    <row r="40" spans="1:9" ht="14.25" customHeight="1"/>
    <row r="41" spans="1:9" ht="21.75" customHeight="1">
      <c r="B41" s="1363" t="s">
        <v>1195</v>
      </c>
      <c r="C41" s="1364" t="s">
        <v>1270</v>
      </c>
      <c r="D41" s="2907" t="s">
        <v>1227</v>
      </c>
      <c r="E41" s="2908"/>
      <c r="F41" s="1365" t="s">
        <v>1271</v>
      </c>
      <c r="G41" s="1364" t="s">
        <v>1198</v>
      </c>
      <c r="H41" s="2027"/>
      <c r="I41" s="2027"/>
    </row>
    <row r="42" spans="1:9" ht="20.25" customHeight="1">
      <c r="A42" s="887" t="s">
        <v>1237</v>
      </c>
      <c r="B42" s="2905" t="s">
        <v>1232</v>
      </c>
      <c r="C42" s="889" t="s">
        <v>1199</v>
      </c>
      <c r="D42" s="1285" t="str">
        <f>'XM.GUI MAIL'!E87</f>
        <v>7~10</v>
      </c>
      <c r="E42" s="1285" t="str">
        <f>'XM.GUI MAIL'!F87</f>
        <v>(8.5±1)</v>
      </c>
      <c r="F42" s="1275" t="s">
        <v>1200</v>
      </c>
      <c r="G42" s="1351">
        <f>'XM.GUI MAIL'!I87</f>
        <v>8.3849999999999998</v>
      </c>
      <c r="H42" s="1351">
        <f>'XM.GUI MAIL'!P87</f>
        <v>8.3849999999999998</v>
      </c>
      <c r="I42" s="1351">
        <f>'XM.GUI MAIL'!W87</f>
        <v>8.4500000000000011</v>
      </c>
    </row>
    <row r="43" spans="1:9" ht="20.25" customHeight="1">
      <c r="A43" s="887" t="s">
        <v>1237</v>
      </c>
      <c r="B43" s="2906"/>
      <c r="C43" s="889" t="s">
        <v>1201</v>
      </c>
      <c r="D43" s="1285" t="str">
        <f>'XM.GUI MAIL'!E86</f>
        <v>135~ 145</v>
      </c>
      <c r="E43" s="1285" t="str">
        <f>'XM.GUI MAIL'!F86</f>
        <v>(140±5)</v>
      </c>
      <c r="F43" s="1275" t="s">
        <v>1200</v>
      </c>
      <c r="G43" s="1351">
        <f>'XM.GUI MAIL'!I86</f>
        <v>142.4</v>
      </c>
      <c r="H43" s="1351">
        <f>'XM.GUI MAIL'!P86</f>
        <v>143.19999999999999</v>
      </c>
      <c r="I43" s="1351">
        <f>'XM.GUI MAIL'!W86</f>
        <v>138.80000000000001</v>
      </c>
    </row>
    <row r="44" spans="1:9" ht="23.25" customHeight="1">
      <c r="A44" s="887" t="s">
        <v>1237</v>
      </c>
      <c r="B44" s="2906"/>
      <c r="C44" s="1282" t="s">
        <v>1202</v>
      </c>
      <c r="D44" s="1286" t="s">
        <v>1228</v>
      </c>
      <c r="E44" s="1286" t="s">
        <v>1228</v>
      </c>
      <c r="F44" s="1283" t="s">
        <v>1200</v>
      </c>
      <c r="G44" s="1352"/>
      <c r="H44" s="1352"/>
      <c r="I44" s="1352"/>
    </row>
    <row r="45" spans="1:9" ht="23.25" customHeight="1">
      <c r="A45" s="887" t="s">
        <v>1237</v>
      </c>
      <c r="B45" s="2906"/>
      <c r="C45" s="1282" t="s">
        <v>1203</v>
      </c>
      <c r="D45" s="1287" t="s">
        <v>1204</v>
      </c>
      <c r="E45" s="1287"/>
      <c r="F45" s="1283" t="s">
        <v>1205</v>
      </c>
      <c r="G45" s="1352"/>
      <c r="H45" s="1352"/>
      <c r="I45" s="1352"/>
    </row>
    <row r="46" spans="1:9" ht="23.25" customHeight="1">
      <c r="A46" s="887" t="s">
        <v>1237</v>
      </c>
      <c r="B46" s="2906"/>
      <c r="C46" s="1282" t="s">
        <v>1206</v>
      </c>
      <c r="D46" s="1287" t="s">
        <v>1204</v>
      </c>
      <c r="E46" s="1287"/>
      <c r="F46" s="1283" t="s">
        <v>1205</v>
      </c>
      <c r="G46" s="1352"/>
      <c r="H46" s="1352"/>
      <c r="I46" s="1352"/>
    </row>
    <row r="47" spans="1:9" ht="23.25" customHeight="1">
      <c r="A47" s="887" t="s">
        <v>1237</v>
      </c>
      <c r="B47" s="2906"/>
      <c r="C47" s="1282" t="s">
        <v>1207</v>
      </c>
      <c r="D47" s="1287" t="s">
        <v>1204</v>
      </c>
      <c r="E47" s="1287"/>
      <c r="F47" s="1283" t="s">
        <v>1205</v>
      </c>
      <c r="G47" s="1352"/>
      <c r="H47" s="1352"/>
      <c r="I47" s="1352"/>
    </row>
    <row r="48" spans="1:9" ht="23.25" customHeight="1">
      <c r="A48" s="887" t="s">
        <v>1237</v>
      </c>
      <c r="B48" s="2906"/>
      <c r="C48" s="1282" t="s">
        <v>1208</v>
      </c>
      <c r="D48" s="1287" t="s">
        <v>1204</v>
      </c>
      <c r="E48" s="1287"/>
      <c r="F48" s="1283" t="s">
        <v>1205</v>
      </c>
      <c r="G48" s="1352"/>
      <c r="H48" s="1352"/>
      <c r="I48" s="1352"/>
    </row>
    <row r="49" spans="1:9" ht="23.25" customHeight="1">
      <c r="B49" s="2911" t="s">
        <v>1233</v>
      </c>
      <c r="C49" s="1282" t="s">
        <v>1217</v>
      </c>
      <c r="D49" s="1292" t="s">
        <v>1229</v>
      </c>
      <c r="E49" s="1292" t="s">
        <v>1229</v>
      </c>
      <c r="F49" s="1283" t="s">
        <v>1200</v>
      </c>
      <c r="G49" s="1352"/>
      <c r="H49" s="1352"/>
      <c r="I49" s="1352"/>
    </row>
    <row r="50" spans="1:9" ht="18.75" customHeight="1">
      <c r="A50" s="887" t="s">
        <v>1237</v>
      </c>
      <c r="B50" s="2912"/>
      <c r="C50" s="889" t="s">
        <v>1548</v>
      </c>
      <c r="D50" s="1285" t="str">
        <f>'XM.GUI MAIL'!E99</f>
        <v>5~6</v>
      </c>
      <c r="E50" s="1285" t="str">
        <f>'XM.GUI MAIL'!F99</f>
        <v>(5.5± 0.5)</v>
      </c>
      <c r="F50" s="1275" t="s">
        <v>1200</v>
      </c>
      <c r="G50" s="1351" t="str">
        <f>'XM.GUI MAIL'!I99</f>
        <v/>
      </c>
      <c r="H50" s="1351" t="str">
        <f>'XM.GUI MAIL'!P99</f>
        <v/>
      </c>
      <c r="I50" s="1351" t="str">
        <f>'XM.GUI MAIL'!W99</f>
        <v/>
      </c>
    </row>
    <row r="51" spans="1:9" ht="21.75" customHeight="1">
      <c r="A51" s="887" t="s">
        <v>1237</v>
      </c>
      <c r="B51" s="2912"/>
      <c r="C51" s="889" t="s">
        <v>1201</v>
      </c>
      <c r="D51" s="1285" t="str">
        <f>'XM.GUI MAIL'!E100</f>
        <v>130~140</v>
      </c>
      <c r="E51" s="1285" t="str">
        <f>'XM.GUI MAIL'!F100</f>
        <v>(135 ± 5)</v>
      </c>
      <c r="F51" s="1275" t="s">
        <v>1200</v>
      </c>
      <c r="G51" s="1351">
        <f>'XM.GUI MAIL'!I100</f>
        <v>0</v>
      </c>
      <c r="H51" s="1351">
        <f>'XM.GUI MAIL'!P100</f>
        <v>0</v>
      </c>
      <c r="I51" s="1351">
        <f>'XM.GUI MAIL'!W100</f>
        <v>0</v>
      </c>
    </row>
    <row r="52" spans="1:9" ht="23.25" customHeight="1">
      <c r="A52" s="887" t="s">
        <v>1237</v>
      </c>
      <c r="B52" s="2912"/>
      <c r="C52" s="1282" t="s">
        <v>1202</v>
      </c>
      <c r="D52" s="1286" t="s">
        <v>1409</v>
      </c>
      <c r="E52" s="1286"/>
      <c r="F52" s="1283" t="s">
        <v>1200</v>
      </c>
      <c r="G52" s="1352"/>
      <c r="H52" s="1352"/>
      <c r="I52" s="1352"/>
    </row>
    <row r="53" spans="1:9" ht="23.25" customHeight="1">
      <c r="A53" s="887" t="s">
        <v>1237</v>
      </c>
      <c r="B53" s="2912"/>
      <c r="C53" s="1282" t="s">
        <v>1203</v>
      </c>
      <c r="D53" s="1286" t="s">
        <v>1410</v>
      </c>
      <c r="E53" s="1286"/>
      <c r="F53" s="1283" t="s">
        <v>1205</v>
      </c>
      <c r="G53" s="1352"/>
      <c r="H53" s="1352"/>
      <c r="I53" s="1352"/>
    </row>
    <row r="54" spans="1:9" ht="23.25" customHeight="1">
      <c r="A54" s="887" t="s">
        <v>1237</v>
      </c>
      <c r="B54" s="2912"/>
      <c r="C54" s="1282" t="s">
        <v>1206</v>
      </c>
      <c r="D54" s="1286" t="s">
        <v>1411</v>
      </c>
      <c r="E54" s="1286"/>
      <c r="F54" s="1283" t="s">
        <v>1205</v>
      </c>
      <c r="G54" s="1352"/>
      <c r="H54" s="1352"/>
      <c r="I54" s="1352"/>
    </row>
    <row r="55" spans="1:9" ht="23.25" customHeight="1">
      <c r="A55" s="887" t="s">
        <v>1237</v>
      </c>
      <c r="B55" s="2912"/>
      <c r="C55" s="1282" t="s">
        <v>1207</v>
      </c>
      <c r="D55" s="1286" t="s">
        <v>1411</v>
      </c>
      <c r="E55" s="1286"/>
      <c r="F55" s="1283" t="s">
        <v>1205</v>
      </c>
      <c r="G55" s="1352"/>
      <c r="H55" s="1352"/>
      <c r="I55" s="1352"/>
    </row>
    <row r="56" spans="1:9" ht="23.25" customHeight="1">
      <c r="A56" s="887" t="s">
        <v>1237</v>
      </c>
      <c r="B56" s="2913"/>
      <c r="C56" s="1282" t="s">
        <v>1208</v>
      </c>
      <c r="D56" s="1286" t="s">
        <v>1412</v>
      </c>
      <c r="E56" s="1286"/>
      <c r="F56" s="1283" t="s">
        <v>1205</v>
      </c>
      <c r="G56" s="1352"/>
      <c r="H56" s="1352"/>
      <c r="I56" s="1352"/>
    </row>
    <row r="57" spans="1:9" ht="21" customHeight="1">
      <c r="A57" s="887" t="s">
        <v>1237</v>
      </c>
      <c r="B57" s="2905" t="s">
        <v>1546</v>
      </c>
      <c r="C57" s="889" t="s">
        <v>1215</v>
      </c>
      <c r="D57" s="1285" t="str">
        <f>'XM.GUI MAIL'!E88</f>
        <v>5~8</v>
      </c>
      <c r="E57" s="1285" t="str">
        <f>'XM.GUI MAIL'!F88</f>
        <v>(6±1)</v>
      </c>
      <c r="F57" s="1275" t="s">
        <v>1210</v>
      </c>
      <c r="G57" s="1351">
        <f>'XM.GUI MAIL'!I88</f>
        <v>6.7287950000000007</v>
      </c>
      <c r="H57" s="1351">
        <f>'XM.GUI MAIL'!P88</f>
        <v>6.6864250000000007</v>
      </c>
      <c r="I57" s="1351">
        <f>'XM.GUI MAIL'!W88</f>
        <v>6.6228700000000007</v>
      </c>
    </row>
    <row r="58" spans="1:9" ht="22.5" customHeight="1">
      <c r="A58" s="887" t="s">
        <v>1237</v>
      </c>
      <c r="B58" s="2906"/>
      <c r="C58" s="889" t="s">
        <v>1211</v>
      </c>
      <c r="D58" s="1288" t="str">
        <f>'XM.GUI MAIL'!E89</f>
        <v>2.0~2.4</v>
      </c>
      <c r="E58" s="1288" t="str">
        <f>'XM.GUI MAIL'!F89</f>
        <v>(2.2±0.1)</v>
      </c>
      <c r="F58" s="1278" t="s">
        <v>1212</v>
      </c>
      <c r="G58" s="1351">
        <f>'XM.GUI MAIL'!I89</f>
        <v>2.11</v>
      </c>
      <c r="H58" s="1351">
        <f>'XM.GUI MAIL'!P89</f>
        <v>2.1</v>
      </c>
      <c r="I58" s="1351">
        <f>'XM.GUI MAIL'!W89</f>
        <v>2.14</v>
      </c>
    </row>
    <row r="59" spans="1:9" ht="23.25" customHeight="1">
      <c r="A59" s="887" t="s">
        <v>1237</v>
      </c>
      <c r="B59" s="2906"/>
      <c r="C59" s="1282" t="s">
        <v>1203</v>
      </c>
      <c r="D59" s="1289" t="s">
        <v>1407</v>
      </c>
      <c r="E59" s="1289"/>
      <c r="F59" s="1283" t="s">
        <v>1205</v>
      </c>
      <c r="G59" s="1352"/>
      <c r="H59" s="1352"/>
      <c r="I59" s="1352"/>
    </row>
    <row r="60" spans="1:9" ht="23.25" customHeight="1">
      <c r="A60" s="887" t="s">
        <v>1237</v>
      </c>
      <c r="B60" s="2906"/>
      <c r="C60" s="1282" t="s">
        <v>1206</v>
      </c>
      <c r="D60" s="1290"/>
      <c r="E60" s="1289"/>
      <c r="F60" s="1283" t="s">
        <v>1205</v>
      </c>
      <c r="G60" s="1352"/>
      <c r="H60" s="1352"/>
      <c r="I60" s="1352"/>
    </row>
    <row r="61" spans="1:9" ht="23.25" customHeight="1">
      <c r="A61" s="887" t="s">
        <v>1237</v>
      </c>
      <c r="B61" s="2906"/>
      <c r="C61" s="1282" t="s">
        <v>1214</v>
      </c>
      <c r="D61" s="1566" t="s">
        <v>1408</v>
      </c>
      <c r="E61" s="1290"/>
      <c r="F61" s="1283" t="s">
        <v>1205</v>
      </c>
      <c r="G61" s="1352"/>
      <c r="H61" s="1352"/>
      <c r="I61" s="1352"/>
    </row>
    <row r="62" spans="1:9" ht="23.25" customHeight="1">
      <c r="B62" s="2905" t="s">
        <v>1547</v>
      </c>
      <c r="C62" s="889" t="s">
        <v>1216</v>
      </c>
      <c r="D62" s="1285" t="str">
        <f>'XM.GUI MAIL'!E95</f>
        <v>5~8</v>
      </c>
      <c r="E62" s="1285" t="str">
        <f>'XM.GUI MAIL'!F95</f>
        <v>(6±0.5)</v>
      </c>
      <c r="F62" s="2343" t="s">
        <v>1210</v>
      </c>
      <c r="G62" s="1351">
        <f>'XM.GUI MAIL'!I95</f>
        <v>5.76</v>
      </c>
      <c r="H62" s="1351">
        <f>'XM.GUI MAIL'!P95</f>
        <v>5.7200000000000006</v>
      </c>
      <c r="I62" s="1351">
        <f>'XM.GUI MAIL'!W95</f>
        <v>5.7200000000000006</v>
      </c>
    </row>
    <row r="63" spans="1:9" ht="23.25" customHeight="1">
      <c r="B63" s="2906"/>
      <c r="C63" s="889" t="s">
        <v>1211</v>
      </c>
      <c r="D63" s="1288" t="str">
        <f>'XM.GUI MAIL'!E96</f>
        <v>1.8~2.4</v>
      </c>
      <c r="E63" s="1288" t="str">
        <f>'XM.GUI MAIL'!F96</f>
        <v>(2.1±0.1)</v>
      </c>
      <c r="F63" s="1278" t="s">
        <v>1212</v>
      </c>
      <c r="G63" s="1351">
        <f>'XM.GUI MAIL'!I96</f>
        <v>2.0299999999999998</v>
      </c>
      <c r="H63" s="1351">
        <f>'XM.GUI MAIL'!P96</f>
        <v>2</v>
      </c>
      <c r="I63" s="1351">
        <f>'XM.GUI MAIL'!W96</f>
        <v>2.0499999999999998</v>
      </c>
    </row>
    <row r="64" spans="1:9" ht="23.25" customHeight="1">
      <c r="B64" s="2906"/>
      <c r="C64" s="1282" t="s">
        <v>1203</v>
      </c>
      <c r="D64" s="1290">
        <v>150</v>
      </c>
      <c r="E64" s="1290"/>
      <c r="F64" s="1283" t="s">
        <v>1205</v>
      </c>
      <c r="G64" s="1352"/>
      <c r="H64" s="1352"/>
      <c r="I64" s="1352"/>
    </row>
    <row r="65" spans="1:9" ht="23.25" customHeight="1">
      <c r="B65" s="2906"/>
      <c r="C65" s="1282" t="s">
        <v>1206</v>
      </c>
      <c r="D65" s="1290"/>
      <c r="E65" s="1290"/>
      <c r="F65" s="1283" t="s">
        <v>1205</v>
      </c>
      <c r="G65" s="1352"/>
      <c r="H65" s="1352"/>
      <c r="I65" s="1352"/>
    </row>
    <row r="66" spans="1:9" ht="23.25" customHeight="1">
      <c r="B66" s="2906"/>
      <c r="C66" s="1282" t="s">
        <v>1214</v>
      </c>
      <c r="D66" s="1290" t="s">
        <v>1416</v>
      </c>
      <c r="E66" s="1290"/>
      <c r="F66" s="1283" t="s">
        <v>1205</v>
      </c>
      <c r="G66" s="1352"/>
      <c r="H66" s="1352"/>
      <c r="I66" s="1352"/>
    </row>
    <row r="67" spans="1:9" ht="14.25" customHeight="1">
      <c r="B67" s="2028"/>
      <c r="C67" s="2029"/>
      <c r="D67" s="2030"/>
      <c r="E67" s="2031"/>
      <c r="F67" s="2032"/>
      <c r="G67" s="2033" t="s">
        <v>1487</v>
      </c>
      <c r="H67" s="2033" t="s">
        <v>1488</v>
      </c>
      <c r="I67" s="2033" t="s">
        <v>1501</v>
      </c>
    </row>
    <row r="68" spans="1:9" ht="18.75" customHeight="1">
      <c r="A68" s="1294" t="s">
        <v>1238</v>
      </c>
      <c r="B68" s="2905" t="s">
        <v>1241</v>
      </c>
      <c r="C68" s="889" t="s">
        <v>1219</v>
      </c>
      <c r="D68" s="1285" t="str">
        <f>'XM.GUI MAIL'!E97</f>
        <v>8~16 %</v>
      </c>
      <c r="E68" s="1285" t="str">
        <f>'XM.GUI MAIL'!F97</f>
        <v>(12±2%)</v>
      </c>
      <c r="F68" s="1275" t="s">
        <v>1210</v>
      </c>
      <c r="G68" s="1351" t="str">
        <f>'XM.GUI MAIL'!I97</f>
        <v/>
      </c>
      <c r="H68" s="1351" t="str">
        <f>'XM.GUI MAIL'!P97</f>
        <v/>
      </c>
      <c r="I68" s="1351" t="str">
        <f>'XM.GUI MAIL'!W97</f>
        <v/>
      </c>
    </row>
    <row r="69" spans="1:9" ht="21" customHeight="1">
      <c r="A69" s="1294" t="s">
        <v>1238</v>
      </c>
      <c r="B69" s="2906"/>
      <c r="C69" s="889" t="s">
        <v>1211</v>
      </c>
      <c r="D69" s="1288" t="str">
        <f>'XM.GUI MAIL'!E98</f>
        <v>1.8~2.4</v>
      </c>
      <c r="E69" s="1288" t="str">
        <f>'XM.GUI MAIL'!F98</f>
        <v>(2.0 ±0.2 )</v>
      </c>
      <c r="F69" s="1278" t="s">
        <v>1212</v>
      </c>
      <c r="G69" s="1351">
        <f>'XM.GUI MAIL'!I98</f>
        <v>0</v>
      </c>
      <c r="H69" s="1351">
        <f>'XM.GUI MAIL'!P98</f>
        <v>0</v>
      </c>
      <c r="I69" s="1351">
        <f>'XM.GUI MAIL'!W98</f>
        <v>0</v>
      </c>
    </row>
    <row r="70" spans="1:9" ht="23.25" customHeight="1">
      <c r="A70" s="1294" t="s">
        <v>1238</v>
      </c>
      <c r="B70" s="2906"/>
      <c r="C70" s="1282" t="s">
        <v>1203</v>
      </c>
      <c r="D70" s="1289" t="s">
        <v>1413</v>
      </c>
      <c r="E70" s="1289"/>
      <c r="F70" s="1283" t="s">
        <v>1205</v>
      </c>
      <c r="G70" s="1352"/>
      <c r="H70" s="1352"/>
      <c r="I70" s="1352"/>
    </row>
    <row r="71" spans="1:9" ht="23.25" customHeight="1">
      <c r="A71" s="1294" t="s">
        <v>1238</v>
      </c>
      <c r="B71" s="2906"/>
      <c r="C71" s="1282" t="s">
        <v>1206</v>
      </c>
      <c r="D71" s="1289" t="s">
        <v>1411</v>
      </c>
      <c r="E71" s="1289"/>
      <c r="F71" s="1283" t="s">
        <v>1205</v>
      </c>
      <c r="G71" s="1352"/>
      <c r="H71" s="1352"/>
      <c r="I71" s="1352"/>
    </row>
    <row r="72" spans="1:9" ht="23.25" customHeight="1">
      <c r="A72" s="1294" t="s">
        <v>1238</v>
      </c>
      <c r="B72" s="2906"/>
      <c r="C72" s="1282" t="s">
        <v>1214</v>
      </c>
      <c r="D72" s="1290" t="s">
        <v>1414</v>
      </c>
      <c r="E72" s="1290"/>
      <c r="F72" s="1283" t="s">
        <v>1205</v>
      </c>
      <c r="G72" s="1352"/>
      <c r="H72" s="1352"/>
      <c r="I72" s="1352"/>
    </row>
    <row r="73" spans="1:9" ht="19.5" customHeight="1">
      <c r="A73" s="1294" t="s">
        <v>1238</v>
      </c>
      <c r="B73" s="2905" t="s">
        <v>1234</v>
      </c>
      <c r="C73" s="889" t="s">
        <v>1209</v>
      </c>
      <c r="D73" s="1285" t="str">
        <f>'XM.GUI MAIL'!E95</f>
        <v>5~8</v>
      </c>
      <c r="E73" s="1285" t="str">
        <f>'XM.GUI MAIL'!F95</f>
        <v>(6±0.5)</v>
      </c>
      <c r="F73" s="1275" t="s">
        <v>1210</v>
      </c>
      <c r="G73" s="1351">
        <f>'XM.GUI MAIL'!I95</f>
        <v>5.76</v>
      </c>
      <c r="H73" s="1351">
        <f>'XM.GUI MAIL'!I95</f>
        <v>5.76</v>
      </c>
      <c r="I73" s="1351">
        <f>'XM.GUI MAIL'!W95</f>
        <v>5.7200000000000006</v>
      </c>
    </row>
    <row r="74" spans="1:9" ht="19.5" customHeight="1">
      <c r="A74" s="1294" t="s">
        <v>1238</v>
      </c>
      <c r="B74" s="2906"/>
      <c r="C74" s="889" t="s">
        <v>1211</v>
      </c>
      <c r="D74" s="1285" t="str">
        <f>'XM.GUI MAIL'!E96</f>
        <v>1.8~2.4</v>
      </c>
      <c r="E74" s="1285" t="str">
        <f>'XM.GUI MAIL'!F96</f>
        <v>(2.1±0.1)</v>
      </c>
      <c r="F74" s="1278" t="s">
        <v>1212</v>
      </c>
      <c r="G74" s="1351">
        <f>'XM.GUI MAIL'!I96</f>
        <v>2.0299999999999998</v>
      </c>
      <c r="H74" s="1351">
        <f>'XM.GUI MAIL'!I96</f>
        <v>2.0299999999999998</v>
      </c>
      <c r="I74" s="1351">
        <f>'XM.GUI MAIL'!W96</f>
        <v>2.0499999999999998</v>
      </c>
    </row>
    <row r="75" spans="1:9" ht="27" customHeight="1">
      <c r="A75" s="1294" t="s">
        <v>1238</v>
      </c>
      <c r="B75" s="2906"/>
      <c r="C75" s="1282" t="s">
        <v>1203</v>
      </c>
      <c r="D75" s="1290" t="s">
        <v>1413</v>
      </c>
      <c r="E75" s="1290"/>
      <c r="F75" s="1283" t="s">
        <v>1205</v>
      </c>
      <c r="G75" s="1282"/>
      <c r="H75" s="2026"/>
      <c r="I75" s="2026"/>
    </row>
    <row r="76" spans="1:9" ht="27" customHeight="1">
      <c r="A76" s="1294" t="s">
        <v>1238</v>
      </c>
      <c r="B76" s="2906"/>
      <c r="C76" s="1282" t="s">
        <v>1206</v>
      </c>
      <c r="D76" s="1290" t="s">
        <v>1415</v>
      </c>
      <c r="E76" s="1290"/>
      <c r="F76" s="1283" t="s">
        <v>1205</v>
      </c>
      <c r="G76" s="1282"/>
      <c r="H76" s="2026"/>
      <c r="I76" s="2026"/>
    </row>
    <row r="77" spans="1:9" ht="27" customHeight="1">
      <c r="A77" s="1294" t="s">
        <v>1238</v>
      </c>
      <c r="B77" s="2906"/>
      <c r="C77" s="1282" t="s">
        <v>1214</v>
      </c>
      <c r="D77" s="1290" t="s">
        <v>1414</v>
      </c>
      <c r="E77" s="1290"/>
      <c r="F77" s="1283" t="s">
        <v>1205</v>
      </c>
      <c r="G77" s="1282"/>
      <c r="H77" s="2026"/>
      <c r="I77" s="2026"/>
    </row>
    <row r="78" spans="1:9" ht="27.75" customHeight="1">
      <c r="A78" s="1294" t="s">
        <v>1238</v>
      </c>
      <c r="B78" s="2909" t="s">
        <v>1235</v>
      </c>
      <c r="C78" s="1282" t="s">
        <v>1222</v>
      </c>
      <c r="D78" s="1293" t="s">
        <v>1225</v>
      </c>
      <c r="E78" s="1293"/>
      <c r="F78" s="1283" t="s">
        <v>1224</v>
      </c>
      <c r="G78" s="1282"/>
      <c r="H78" s="2026"/>
      <c r="I78" s="2026"/>
    </row>
    <row r="79" spans="1:9" ht="27.75" customHeight="1">
      <c r="A79" s="1294" t="s">
        <v>1238</v>
      </c>
      <c r="B79" s="2910"/>
      <c r="C79" s="1282" t="s">
        <v>1223</v>
      </c>
      <c r="D79" s="1293" t="s">
        <v>1226</v>
      </c>
      <c r="E79" s="1293"/>
      <c r="F79" s="1283" t="s">
        <v>1224</v>
      </c>
      <c r="G79" s="1282"/>
      <c r="H79" s="2026"/>
      <c r="I79" s="2026"/>
    </row>
  </sheetData>
  <mergeCells count="17">
    <mergeCell ref="B78:B79"/>
    <mergeCell ref="B73:B77"/>
    <mergeCell ref="B68:B72"/>
    <mergeCell ref="B30:B34"/>
    <mergeCell ref="D41:E41"/>
    <mergeCell ref="B35:B39"/>
    <mergeCell ref="B42:B48"/>
    <mergeCell ref="B57:B61"/>
    <mergeCell ref="B49:B56"/>
    <mergeCell ref="B62:B66"/>
    <mergeCell ref="B1:G1"/>
    <mergeCell ref="B4:B10"/>
    <mergeCell ref="B11:B15"/>
    <mergeCell ref="B16:B20"/>
    <mergeCell ref="B23:B29"/>
    <mergeCell ref="D3:E3"/>
    <mergeCell ref="D22:E22"/>
  </mergeCells>
  <phoneticPr fontId="7"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59"/>
  <sheetViews>
    <sheetView topLeftCell="A43" zoomScale="70" zoomScaleNormal="70" workbookViewId="0">
      <selection activeCell="A59" sqref="A59:XFD60"/>
    </sheetView>
  </sheetViews>
  <sheetFormatPr defaultRowHeight="27.75" customHeight="1"/>
  <cols>
    <col min="1" max="1" width="25.5" style="874" customWidth="1"/>
    <col min="2" max="2" width="26.375" style="857" customWidth="1"/>
    <col min="3" max="3" width="26.375" style="858" customWidth="1"/>
    <col min="4" max="4" width="9" style="848"/>
    <col min="5" max="16" width="9" style="848" hidden="1" customWidth="1"/>
    <col min="17" max="16384" width="9" style="848"/>
  </cols>
  <sheetData>
    <row r="1" spans="1:17" ht="60.75" customHeight="1">
      <c r="A1" s="862" t="s">
        <v>316</v>
      </c>
      <c r="B1" s="846"/>
      <c r="C1" s="847"/>
    </row>
    <row r="2" spans="1:17" s="851" customFormat="1" ht="27.75" customHeight="1">
      <c r="A2" s="873" t="s">
        <v>317</v>
      </c>
      <c r="B2" s="849" t="s">
        <v>318</v>
      </c>
      <c r="C2" s="850" t="s">
        <v>323</v>
      </c>
      <c r="E2" s="852">
        <v>1</v>
      </c>
      <c r="F2" s="852" t="s">
        <v>828</v>
      </c>
      <c r="G2" s="852">
        <v>2</v>
      </c>
      <c r="H2" s="852" t="s">
        <v>828</v>
      </c>
      <c r="I2" s="852">
        <v>3</v>
      </c>
      <c r="J2" s="852" t="s">
        <v>828</v>
      </c>
      <c r="K2" s="852">
        <v>4</v>
      </c>
      <c r="L2" s="852" t="s">
        <v>828</v>
      </c>
      <c r="M2" s="852">
        <v>5</v>
      </c>
      <c r="N2" s="852" t="s">
        <v>828</v>
      </c>
      <c r="O2" s="852">
        <v>6</v>
      </c>
      <c r="P2" s="852" t="s">
        <v>828</v>
      </c>
      <c r="Q2" s="853">
        <v>1</v>
      </c>
    </row>
    <row r="3" spans="1:17" s="851" customFormat="1" ht="27.75" customHeight="1">
      <c r="A3" s="873" t="s">
        <v>341</v>
      </c>
      <c r="B3" s="849" t="s">
        <v>342</v>
      </c>
      <c r="C3" s="850" t="s">
        <v>347</v>
      </c>
    </row>
    <row r="4" spans="1:17" ht="27.75" customHeight="1">
      <c r="A4" s="868" t="s">
        <v>1681</v>
      </c>
      <c r="B4" s="854" t="s">
        <v>260</v>
      </c>
      <c r="C4" s="855">
        <v>71.39</v>
      </c>
      <c r="E4" s="848" t="b">
        <v>1</v>
      </c>
      <c r="F4" s="848" t="b">
        <v>0</v>
      </c>
      <c r="G4" s="848" t="b">
        <v>0</v>
      </c>
      <c r="H4" s="848" t="b">
        <v>0</v>
      </c>
      <c r="I4" s="848" t="b">
        <v>0</v>
      </c>
      <c r="J4" s="848" t="b">
        <v>0</v>
      </c>
      <c r="K4" s="848" t="b">
        <v>0</v>
      </c>
      <c r="L4" s="848" t="b">
        <v>0</v>
      </c>
      <c r="M4" s="848" t="b">
        <v>0</v>
      </c>
      <c r="N4" s="848" t="b">
        <v>0</v>
      </c>
      <c r="O4" s="848" t="b">
        <v>0</v>
      </c>
      <c r="P4" s="848" t="b">
        <v>0</v>
      </c>
      <c r="Q4" s="856" t="s">
        <v>1496</v>
      </c>
    </row>
    <row r="5" spans="1:17" ht="27.75" customHeight="1">
      <c r="A5" s="868" t="s">
        <v>1681</v>
      </c>
      <c r="B5" s="854" t="s">
        <v>261</v>
      </c>
      <c r="C5" s="855">
        <v>72.039000000000001</v>
      </c>
      <c r="E5" s="848" t="b">
        <v>1</v>
      </c>
      <c r="F5" s="848" t="b">
        <v>0</v>
      </c>
      <c r="G5" s="848" t="b">
        <v>0</v>
      </c>
      <c r="H5" s="848" t="b">
        <v>0</v>
      </c>
      <c r="I5" s="848" t="b">
        <v>0</v>
      </c>
      <c r="J5" s="848" t="b">
        <v>0</v>
      </c>
      <c r="K5" s="848" t="b">
        <v>0</v>
      </c>
      <c r="L5" s="848" t="b">
        <v>0</v>
      </c>
      <c r="M5" s="848" t="b">
        <v>0</v>
      </c>
      <c r="N5" s="848" t="b">
        <v>0</v>
      </c>
      <c r="O5" s="848" t="b">
        <v>0</v>
      </c>
      <c r="P5" s="848" t="b">
        <v>0</v>
      </c>
      <c r="Q5" s="856" t="s">
        <v>1496</v>
      </c>
    </row>
    <row r="6" spans="1:17" ht="27.75" customHeight="1">
      <c r="A6" s="868" t="s">
        <v>1681</v>
      </c>
      <c r="B6" s="854" t="s">
        <v>262</v>
      </c>
      <c r="C6" s="855">
        <v>55.208999999999996</v>
      </c>
      <c r="E6" s="848" t="b">
        <v>1</v>
      </c>
      <c r="F6" s="848" t="b">
        <v>0</v>
      </c>
      <c r="G6" s="848" t="b">
        <v>0</v>
      </c>
      <c r="H6" s="848" t="b">
        <v>0</v>
      </c>
      <c r="I6" s="848" t="b">
        <v>0</v>
      </c>
      <c r="J6" s="848" t="b">
        <v>0</v>
      </c>
      <c r="K6" s="848" t="b">
        <v>0</v>
      </c>
      <c r="L6" s="848" t="b">
        <v>0</v>
      </c>
      <c r="M6" s="848" t="b">
        <v>0</v>
      </c>
      <c r="N6" s="848" t="b">
        <v>0</v>
      </c>
      <c r="O6" s="848" t="b">
        <v>0</v>
      </c>
      <c r="P6" s="848" t="b">
        <v>0</v>
      </c>
      <c r="Q6" s="856" t="s">
        <v>1496</v>
      </c>
    </row>
    <row r="7" spans="1:17" ht="27.75" customHeight="1">
      <c r="A7" s="868" t="s">
        <v>1681</v>
      </c>
      <c r="B7" s="854" t="s">
        <v>263</v>
      </c>
      <c r="C7" s="855">
        <v>58.673999999999999</v>
      </c>
      <c r="E7" s="848" t="b">
        <v>1</v>
      </c>
      <c r="F7" s="848" t="b">
        <v>0</v>
      </c>
      <c r="G7" s="848" t="b">
        <v>0</v>
      </c>
      <c r="H7" s="848" t="b">
        <v>0</v>
      </c>
      <c r="I7" s="848" t="b">
        <v>0</v>
      </c>
      <c r="J7" s="848" t="b">
        <v>0</v>
      </c>
      <c r="K7" s="848" t="b">
        <v>0</v>
      </c>
      <c r="L7" s="848" t="b">
        <v>0</v>
      </c>
      <c r="M7" s="848" t="b">
        <v>0</v>
      </c>
      <c r="N7" s="848" t="b">
        <v>0</v>
      </c>
      <c r="O7" s="848" t="b">
        <v>0</v>
      </c>
      <c r="P7" s="848" t="b">
        <v>0</v>
      </c>
      <c r="Q7" s="856" t="s">
        <v>1496</v>
      </c>
    </row>
    <row r="8" spans="1:17" ht="27.75" customHeight="1">
      <c r="A8" s="868" t="s">
        <v>1681</v>
      </c>
      <c r="B8" s="854" t="s">
        <v>264</v>
      </c>
      <c r="C8" s="855">
        <v>144.80000000000001</v>
      </c>
      <c r="E8" s="848" t="b">
        <v>1</v>
      </c>
      <c r="F8" s="848" t="b">
        <v>0</v>
      </c>
      <c r="G8" s="848" t="b">
        <v>0</v>
      </c>
      <c r="H8" s="848" t="b">
        <v>0</v>
      </c>
      <c r="I8" s="848" t="b">
        <v>0</v>
      </c>
      <c r="J8" s="848" t="b">
        <v>0</v>
      </c>
      <c r="K8" s="848" t="b">
        <v>0</v>
      </c>
      <c r="L8" s="848" t="b">
        <v>0</v>
      </c>
      <c r="M8" s="848" t="b">
        <v>0</v>
      </c>
      <c r="N8" s="848" t="b">
        <v>0</v>
      </c>
      <c r="O8" s="848" t="b">
        <v>0</v>
      </c>
      <c r="P8" s="848" t="b">
        <v>0</v>
      </c>
      <c r="Q8" s="856" t="s">
        <v>1496</v>
      </c>
    </row>
    <row r="9" spans="1:17" ht="27.75" customHeight="1">
      <c r="A9" s="868" t="s">
        <v>1681</v>
      </c>
      <c r="B9" s="854" t="s">
        <v>265</v>
      </c>
      <c r="C9" s="855">
        <v>10.01</v>
      </c>
      <c r="E9" s="848" t="b">
        <v>1</v>
      </c>
      <c r="F9" s="848" t="b">
        <v>0</v>
      </c>
      <c r="G9" s="848" t="b">
        <v>0</v>
      </c>
      <c r="H9" s="848" t="b">
        <v>0</v>
      </c>
      <c r="I9" s="848" t="b">
        <v>0</v>
      </c>
      <c r="J9" s="848" t="b">
        <v>0</v>
      </c>
      <c r="K9" s="848" t="b">
        <v>0</v>
      </c>
      <c r="L9" s="848" t="b">
        <v>0</v>
      </c>
      <c r="M9" s="848" t="b">
        <v>0</v>
      </c>
      <c r="N9" s="848" t="b">
        <v>0</v>
      </c>
      <c r="O9" s="848" t="b">
        <v>0</v>
      </c>
      <c r="P9" s="848" t="b">
        <v>0</v>
      </c>
      <c r="Q9" s="856" t="s">
        <v>1496</v>
      </c>
    </row>
    <row r="10" spans="1:17" ht="27.75" customHeight="1">
      <c r="A10" s="868" t="s">
        <v>1681</v>
      </c>
      <c r="B10" s="854" t="s">
        <v>266</v>
      </c>
      <c r="C10" s="855">
        <v>7.2160500000000001</v>
      </c>
      <c r="E10" s="848" t="b">
        <v>1</v>
      </c>
      <c r="F10" s="848" t="b">
        <v>0</v>
      </c>
      <c r="G10" s="848" t="b">
        <v>0</v>
      </c>
      <c r="H10" s="848" t="b">
        <v>0</v>
      </c>
      <c r="I10" s="848" t="b">
        <v>0</v>
      </c>
      <c r="J10" s="848" t="b">
        <v>0</v>
      </c>
      <c r="K10" s="848" t="b">
        <v>0</v>
      </c>
      <c r="L10" s="848" t="b">
        <v>0</v>
      </c>
      <c r="M10" s="848" t="b">
        <v>0</v>
      </c>
      <c r="N10" s="848" t="b">
        <v>0</v>
      </c>
      <c r="O10" s="848" t="b">
        <v>0</v>
      </c>
      <c r="P10" s="848" t="b">
        <v>0</v>
      </c>
      <c r="Q10" s="856" t="s">
        <v>1496</v>
      </c>
    </row>
    <row r="11" spans="1:17" ht="27.75" customHeight="1">
      <c r="A11" s="868" t="s">
        <v>1681</v>
      </c>
      <c r="B11" s="854" t="s">
        <v>267</v>
      </c>
      <c r="C11" s="855">
        <v>2.23</v>
      </c>
      <c r="E11" s="848" t="b">
        <v>1</v>
      </c>
      <c r="F11" s="848" t="b">
        <v>0</v>
      </c>
      <c r="G11" s="848" t="b">
        <v>0</v>
      </c>
      <c r="H11" s="848" t="b">
        <v>0</v>
      </c>
      <c r="I11" s="848" t="b">
        <v>0</v>
      </c>
      <c r="J11" s="848" t="b">
        <v>0</v>
      </c>
      <c r="K11" s="848" t="b">
        <v>0</v>
      </c>
      <c r="L11" s="848" t="b">
        <v>0</v>
      </c>
      <c r="M11" s="848" t="b">
        <v>0</v>
      </c>
      <c r="N11" s="848" t="b">
        <v>0</v>
      </c>
      <c r="O11" s="848" t="b">
        <v>0</v>
      </c>
      <c r="P11" s="848" t="b">
        <v>0</v>
      </c>
      <c r="Q11" s="856" t="s">
        <v>1496</v>
      </c>
    </row>
    <row r="12" spans="1:17" ht="27.75" customHeight="1">
      <c r="A12" s="868" t="s">
        <v>1681</v>
      </c>
      <c r="B12" s="854" t="s">
        <v>268</v>
      </c>
      <c r="C12" s="855">
        <v>0.46765624999999994</v>
      </c>
      <c r="E12" s="848" t="b">
        <v>1</v>
      </c>
      <c r="F12" s="848" t="b">
        <v>0</v>
      </c>
      <c r="G12" s="848" t="b">
        <v>0</v>
      </c>
      <c r="H12" s="848" t="b">
        <v>0</v>
      </c>
      <c r="I12" s="848" t="b">
        <v>0</v>
      </c>
      <c r="J12" s="848" t="b">
        <v>0</v>
      </c>
      <c r="K12" s="848" t="b">
        <v>0</v>
      </c>
      <c r="L12" s="848" t="b">
        <v>0</v>
      </c>
      <c r="M12" s="848" t="b">
        <v>0</v>
      </c>
      <c r="N12" s="848" t="b">
        <v>0</v>
      </c>
      <c r="O12" s="848" t="b">
        <v>0</v>
      </c>
      <c r="P12" s="848" t="b">
        <v>0</v>
      </c>
      <c r="Q12" s="856" t="s">
        <v>1496</v>
      </c>
    </row>
    <row r="13" spans="1:17" ht="27.75" customHeight="1">
      <c r="A13" s="868" t="s">
        <v>1681</v>
      </c>
      <c r="B13" s="854" t="s">
        <v>270</v>
      </c>
      <c r="C13" s="855">
        <v>7.9843750000000005E-2</v>
      </c>
      <c r="E13" s="848" t="b">
        <v>1</v>
      </c>
      <c r="F13" s="848" t="b">
        <v>0</v>
      </c>
      <c r="G13" s="848" t="b">
        <v>0</v>
      </c>
      <c r="H13" s="848" t="b">
        <v>0</v>
      </c>
      <c r="I13" s="848" t="b">
        <v>0</v>
      </c>
      <c r="J13" s="848" t="b">
        <v>0</v>
      </c>
      <c r="K13" s="848" t="b">
        <v>0</v>
      </c>
      <c r="L13" s="848" t="b">
        <v>0</v>
      </c>
      <c r="M13" s="848" t="b">
        <v>0</v>
      </c>
      <c r="N13" s="848" t="b">
        <v>0</v>
      </c>
      <c r="O13" s="848" t="b">
        <v>0</v>
      </c>
      <c r="P13" s="848" t="b">
        <v>0</v>
      </c>
      <c r="Q13" s="856" t="s">
        <v>1496</v>
      </c>
    </row>
    <row r="14" spans="1:17" ht="27.75" customHeight="1">
      <c r="A14" s="868" t="s">
        <v>1681</v>
      </c>
      <c r="B14" s="854" t="s">
        <v>271</v>
      </c>
      <c r="C14" s="855">
        <v>1.1088000000000001E-2</v>
      </c>
      <c r="E14" s="848" t="b">
        <v>1</v>
      </c>
      <c r="F14" s="848" t="b">
        <v>0</v>
      </c>
      <c r="G14" s="848" t="b">
        <v>0</v>
      </c>
      <c r="H14" s="848" t="b">
        <v>0</v>
      </c>
      <c r="I14" s="848" t="b">
        <v>0</v>
      </c>
      <c r="J14" s="848" t="b">
        <v>0</v>
      </c>
      <c r="K14" s="848" t="b">
        <v>0</v>
      </c>
      <c r="L14" s="848" t="b">
        <v>0</v>
      </c>
      <c r="M14" s="848" t="b">
        <v>0</v>
      </c>
      <c r="N14" s="848" t="b">
        <v>0</v>
      </c>
      <c r="O14" s="848" t="b">
        <v>0</v>
      </c>
      <c r="P14" s="848" t="b">
        <v>0</v>
      </c>
      <c r="Q14" s="856" t="s">
        <v>1496</v>
      </c>
    </row>
    <row r="15" spans="1:17" ht="27.75" customHeight="1">
      <c r="A15" s="868" t="s">
        <v>1681</v>
      </c>
      <c r="B15" s="854" t="s">
        <v>281</v>
      </c>
      <c r="C15" s="855">
        <v>175</v>
      </c>
      <c r="E15" s="848" t="b">
        <v>1</v>
      </c>
      <c r="F15" s="848" t="b">
        <v>0</v>
      </c>
      <c r="G15" s="848" t="b">
        <v>0</v>
      </c>
      <c r="H15" s="848" t="b">
        <v>0</v>
      </c>
      <c r="I15" s="848" t="b">
        <v>0</v>
      </c>
      <c r="J15" s="848" t="b">
        <v>0</v>
      </c>
      <c r="K15" s="848" t="b">
        <v>0</v>
      </c>
      <c r="L15" s="848" t="b">
        <v>0</v>
      </c>
      <c r="M15" s="848" t="b">
        <v>0</v>
      </c>
      <c r="N15" s="848" t="b">
        <v>0</v>
      </c>
      <c r="O15" s="848" t="b">
        <v>0</v>
      </c>
      <c r="P15" s="848" t="b">
        <v>0</v>
      </c>
      <c r="Q15" s="856" t="s">
        <v>1496</v>
      </c>
    </row>
    <row r="16" spans="1:17" ht="27.75" customHeight="1">
      <c r="A16" s="868" t="s">
        <v>1681</v>
      </c>
      <c r="B16" s="854" t="s">
        <v>282</v>
      </c>
      <c r="C16" s="855">
        <v>30</v>
      </c>
      <c r="E16" s="848" t="b">
        <v>1</v>
      </c>
      <c r="F16" s="848" t="b">
        <v>0</v>
      </c>
      <c r="G16" s="848" t="b">
        <v>0</v>
      </c>
      <c r="H16" s="848" t="b">
        <v>0</v>
      </c>
      <c r="I16" s="848" t="b">
        <v>0</v>
      </c>
      <c r="J16" s="848" t="b">
        <v>0</v>
      </c>
      <c r="K16" s="848" t="b">
        <v>0</v>
      </c>
      <c r="L16" s="848" t="b">
        <v>0</v>
      </c>
      <c r="M16" s="848" t="b">
        <v>0</v>
      </c>
      <c r="N16" s="848" t="b">
        <v>0</v>
      </c>
      <c r="O16" s="848" t="b">
        <v>0</v>
      </c>
      <c r="P16" s="848" t="b">
        <v>0</v>
      </c>
      <c r="Q16" s="856" t="s">
        <v>1496</v>
      </c>
    </row>
    <row r="17" spans="1:17" ht="27.75" customHeight="1">
      <c r="A17" s="868" t="s">
        <v>1681</v>
      </c>
      <c r="B17" s="854" t="s">
        <v>283</v>
      </c>
      <c r="C17" s="855">
        <v>48.026000000000003</v>
      </c>
      <c r="E17" s="848" t="b">
        <v>1</v>
      </c>
      <c r="F17" s="848" t="b">
        <v>0</v>
      </c>
      <c r="G17" s="848" t="b">
        <v>0</v>
      </c>
      <c r="H17" s="848" t="b">
        <v>0</v>
      </c>
      <c r="I17" s="848" t="b">
        <v>0</v>
      </c>
      <c r="J17" s="848" t="b">
        <v>0</v>
      </c>
      <c r="K17" s="848" t="b">
        <v>0</v>
      </c>
      <c r="L17" s="848" t="b">
        <v>0</v>
      </c>
      <c r="M17" s="848" t="b">
        <v>0</v>
      </c>
      <c r="N17" s="848" t="b">
        <v>0</v>
      </c>
      <c r="O17" s="848" t="b">
        <v>0</v>
      </c>
      <c r="P17" s="848" t="b">
        <v>0</v>
      </c>
      <c r="Q17" s="856" t="s">
        <v>1496</v>
      </c>
    </row>
    <row r="18" spans="1:17" ht="27.75" customHeight="1">
      <c r="A18" s="868" t="s">
        <v>1681</v>
      </c>
      <c r="B18" s="854" t="s">
        <v>284</v>
      </c>
      <c r="C18" s="855">
        <v>49.648500000000006</v>
      </c>
      <c r="E18" s="848" t="b">
        <v>1</v>
      </c>
      <c r="F18" s="848" t="b">
        <v>0</v>
      </c>
      <c r="G18" s="848" t="b">
        <v>0</v>
      </c>
      <c r="H18" s="848" t="b">
        <v>0</v>
      </c>
      <c r="I18" s="848" t="b">
        <v>0</v>
      </c>
      <c r="J18" s="848" t="b">
        <v>0</v>
      </c>
      <c r="K18" s="848" t="b">
        <v>0</v>
      </c>
      <c r="L18" s="848" t="b">
        <v>0</v>
      </c>
      <c r="M18" s="848" t="b">
        <v>0</v>
      </c>
      <c r="N18" s="848" t="b">
        <v>0</v>
      </c>
      <c r="O18" s="848" t="b">
        <v>0</v>
      </c>
      <c r="P18" s="848" t="b">
        <v>0</v>
      </c>
      <c r="Q18" s="856" t="s">
        <v>1496</v>
      </c>
    </row>
    <row r="19" spans="1:17" ht="27.75" customHeight="1">
      <c r="A19" s="868" t="s">
        <v>1681</v>
      </c>
      <c r="B19" s="854" t="s">
        <v>285</v>
      </c>
      <c r="C19" s="855">
        <v>61.446000000000005</v>
      </c>
      <c r="E19" s="848" t="b">
        <v>1</v>
      </c>
      <c r="F19" s="848" t="b">
        <v>0</v>
      </c>
      <c r="G19" s="848" t="b">
        <v>0</v>
      </c>
      <c r="H19" s="848" t="b">
        <v>0</v>
      </c>
      <c r="I19" s="848" t="b">
        <v>0</v>
      </c>
      <c r="J19" s="848" t="b">
        <v>0</v>
      </c>
      <c r="K19" s="848" t="b">
        <v>0</v>
      </c>
      <c r="L19" s="848" t="b">
        <v>0</v>
      </c>
      <c r="M19" s="848" t="b">
        <v>0</v>
      </c>
      <c r="N19" s="848" t="b">
        <v>0</v>
      </c>
      <c r="O19" s="848" t="b">
        <v>0</v>
      </c>
      <c r="P19" s="848" t="b">
        <v>0</v>
      </c>
      <c r="Q19" s="856" t="s">
        <v>1496</v>
      </c>
    </row>
    <row r="20" spans="1:17" ht="27.75" customHeight="1">
      <c r="A20" s="868" t="s">
        <v>1681</v>
      </c>
      <c r="B20" s="854" t="s">
        <v>286</v>
      </c>
      <c r="C20" s="855">
        <v>59.598000000000006</v>
      </c>
      <c r="E20" s="848" t="b">
        <v>1</v>
      </c>
      <c r="F20" s="848" t="b">
        <v>0</v>
      </c>
      <c r="G20" s="848" t="b">
        <v>0</v>
      </c>
      <c r="H20" s="848" t="b">
        <v>0</v>
      </c>
      <c r="I20" s="848" t="b">
        <v>0</v>
      </c>
      <c r="J20" s="848" t="b">
        <v>0</v>
      </c>
      <c r="K20" s="848" t="b">
        <v>0</v>
      </c>
      <c r="L20" s="848" t="b">
        <v>0</v>
      </c>
      <c r="M20" s="848" t="b">
        <v>0</v>
      </c>
      <c r="N20" s="848" t="b">
        <v>0</v>
      </c>
      <c r="O20" s="848" t="b">
        <v>0</v>
      </c>
      <c r="P20" s="848" t="b">
        <v>0</v>
      </c>
      <c r="Q20" s="856" t="s">
        <v>1496</v>
      </c>
    </row>
    <row r="21" spans="1:17" ht="27.75" customHeight="1">
      <c r="A21" s="868" t="s">
        <v>1681</v>
      </c>
      <c r="B21" s="854" t="s">
        <v>287</v>
      </c>
      <c r="C21" s="855">
        <v>142.4</v>
      </c>
      <c r="E21" s="848" t="b">
        <v>1</v>
      </c>
      <c r="F21" s="848" t="b">
        <v>0</v>
      </c>
      <c r="G21" s="848" t="b">
        <v>0</v>
      </c>
      <c r="H21" s="848" t="b">
        <v>0</v>
      </c>
      <c r="I21" s="848" t="b">
        <v>0</v>
      </c>
      <c r="J21" s="848" t="b">
        <v>0</v>
      </c>
      <c r="K21" s="848" t="b">
        <v>0</v>
      </c>
      <c r="L21" s="848" t="b">
        <v>0</v>
      </c>
      <c r="M21" s="848" t="b">
        <v>0</v>
      </c>
      <c r="N21" s="848" t="b">
        <v>0</v>
      </c>
      <c r="O21" s="848" t="b">
        <v>0</v>
      </c>
      <c r="P21" s="848" t="b">
        <v>0</v>
      </c>
      <c r="Q21" s="856" t="s">
        <v>1496</v>
      </c>
    </row>
    <row r="22" spans="1:17" ht="27.75" customHeight="1">
      <c r="A22" s="868" t="s">
        <v>1681</v>
      </c>
      <c r="B22" s="854" t="s">
        <v>288</v>
      </c>
      <c r="C22" s="855">
        <v>8.3849999999999998</v>
      </c>
      <c r="E22" s="848" t="b">
        <v>1</v>
      </c>
      <c r="F22" s="848" t="b">
        <v>0</v>
      </c>
      <c r="G22" s="848" t="b">
        <v>0</v>
      </c>
      <c r="H22" s="848" t="b">
        <v>0</v>
      </c>
      <c r="I22" s="848" t="b">
        <v>0</v>
      </c>
      <c r="J22" s="848" t="b">
        <v>0</v>
      </c>
      <c r="K22" s="848" t="b">
        <v>0</v>
      </c>
      <c r="L22" s="848" t="b">
        <v>0</v>
      </c>
      <c r="M22" s="848" t="b">
        <v>0</v>
      </c>
      <c r="N22" s="848" t="b">
        <v>0</v>
      </c>
      <c r="O22" s="848" t="b">
        <v>0</v>
      </c>
      <c r="P22" s="848" t="b">
        <v>0</v>
      </c>
      <c r="Q22" s="856" t="s">
        <v>1496</v>
      </c>
    </row>
    <row r="23" spans="1:17" ht="27.75" customHeight="1">
      <c r="A23" s="868" t="s">
        <v>1681</v>
      </c>
      <c r="B23" s="854" t="s">
        <v>289</v>
      </c>
      <c r="C23" s="855">
        <v>6.7287950000000007</v>
      </c>
      <c r="E23" s="848" t="b">
        <v>1</v>
      </c>
      <c r="F23" s="848" t="b">
        <v>0</v>
      </c>
      <c r="G23" s="848" t="b">
        <v>0</v>
      </c>
      <c r="H23" s="848" t="b">
        <v>0</v>
      </c>
      <c r="I23" s="848" t="b">
        <v>0</v>
      </c>
      <c r="J23" s="848" t="b">
        <v>0</v>
      </c>
      <c r="K23" s="848" t="b">
        <v>0</v>
      </c>
      <c r="L23" s="848" t="b">
        <v>0</v>
      </c>
      <c r="M23" s="848" t="b">
        <v>0</v>
      </c>
      <c r="N23" s="848" t="b">
        <v>0</v>
      </c>
      <c r="O23" s="848" t="b">
        <v>0</v>
      </c>
      <c r="P23" s="848" t="b">
        <v>0</v>
      </c>
      <c r="Q23" s="856" t="s">
        <v>1496</v>
      </c>
    </row>
    <row r="24" spans="1:17" ht="27.75" customHeight="1">
      <c r="A24" s="868" t="s">
        <v>1681</v>
      </c>
      <c r="B24" s="854" t="s">
        <v>290</v>
      </c>
      <c r="C24" s="855">
        <v>2.11</v>
      </c>
      <c r="E24" s="848" t="b">
        <v>1</v>
      </c>
      <c r="F24" s="848" t="b">
        <v>0</v>
      </c>
      <c r="G24" s="848" t="b">
        <v>0</v>
      </c>
      <c r="H24" s="848" t="b">
        <v>0</v>
      </c>
      <c r="I24" s="848" t="b">
        <v>0</v>
      </c>
      <c r="J24" s="848" t="b">
        <v>0</v>
      </c>
      <c r="K24" s="848" t="b">
        <v>0</v>
      </c>
      <c r="L24" s="848" t="b">
        <v>0</v>
      </c>
      <c r="M24" s="848" t="b">
        <v>0</v>
      </c>
      <c r="N24" s="848" t="b">
        <v>0</v>
      </c>
      <c r="O24" s="848" t="b">
        <v>0</v>
      </c>
      <c r="P24" s="848" t="b">
        <v>0</v>
      </c>
      <c r="Q24" s="856" t="s">
        <v>1496</v>
      </c>
    </row>
    <row r="25" spans="1:17" ht="27.75" customHeight="1">
      <c r="A25" s="868" t="s">
        <v>1681</v>
      </c>
      <c r="B25" s="854" t="s">
        <v>292</v>
      </c>
      <c r="C25" s="855">
        <v>0.45168749999999996</v>
      </c>
      <c r="E25" s="848" t="b">
        <v>1</v>
      </c>
      <c r="F25" s="848" t="b">
        <v>0</v>
      </c>
      <c r="G25" s="848" t="b">
        <v>0</v>
      </c>
      <c r="H25" s="848" t="b">
        <v>0</v>
      </c>
      <c r="I25" s="848" t="b">
        <v>0</v>
      </c>
      <c r="J25" s="848" t="b">
        <v>0</v>
      </c>
      <c r="K25" s="848" t="b">
        <v>0</v>
      </c>
      <c r="L25" s="848" t="b">
        <v>0</v>
      </c>
      <c r="M25" s="848" t="b">
        <v>0</v>
      </c>
      <c r="N25" s="848" t="b">
        <v>0</v>
      </c>
      <c r="O25" s="848" t="b">
        <v>0</v>
      </c>
      <c r="P25" s="848" t="b">
        <v>0</v>
      </c>
      <c r="Q25" s="856" t="s">
        <v>1496</v>
      </c>
    </row>
    <row r="26" spans="1:17" ht="27.75" customHeight="1">
      <c r="A26" s="868" t="s">
        <v>1681</v>
      </c>
      <c r="B26" s="854" t="s">
        <v>293</v>
      </c>
      <c r="C26" s="855">
        <v>0.3878125</v>
      </c>
      <c r="E26" s="848" t="b">
        <v>1</v>
      </c>
      <c r="F26" s="848" t="b">
        <v>0</v>
      </c>
      <c r="G26" s="848" t="b">
        <v>0</v>
      </c>
      <c r="H26" s="848" t="b">
        <v>0</v>
      </c>
      <c r="I26" s="848" t="b">
        <v>0</v>
      </c>
      <c r="J26" s="848" t="b">
        <v>0</v>
      </c>
      <c r="K26" s="848" t="b">
        <v>0</v>
      </c>
      <c r="L26" s="848" t="b">
        <v>0</v>
      </c>
      <c r="M26" s="848" t="b">
        <v>0</v>
      </c>
      <c r="N26" s="848" t="b">
        <v>0</v>
      </c>
      <c r="O26" s="848" t="b">
        <v>0</v>
      </c>
      <c r="P26" s="848" t="b">
        <v>0</v>
      </c>
      <c r="Q26" s="856" t="s">
        <v>1496</v>
      </c>
    </row>
    <row r="27" spans="1:17" ht="27.75" customHeight="1">
      <c r="A27" s="868" t="s">
        <v>1681</v>
      </c>
      <c r="B27" s="854" t="s">
        <v>294</v>
      </c>
      <c r="C27" s="855">
        <v>7.4340000000000005E-3</v>
      </c>
      <c r="E27" s="848" t="b">
        <v>1</v>
      </c>
      <c r="F27" s="848" t="b">
        <v>0</v>
      </c>
      <c r="G27" s="848" t="b">
        <v>0</v>
      </c>
      <c r="H27" s="848" t="b">
        <v>0</v>
      </c>
      <c r="I27" s="848" t="b">
        <v>0</v>
      </c>
      <c r="J27" s="848" t="b">
        <v>0</v>
      </c>
      <c r="K27" s="848" t="b">
        <v>0</v>
      </c>
      <c r="L27" s="848" t="b">
        <v>0</v>
      </c>
      <c r="M27" s="848" t="b">
        <v>0</v>
      </c>
      <c r="N27" s="848" t="b">
        <v>0</v>
      </c>
      <c r="O27" s="848" t="b">
        <v>0</v>
      </c>
      <c r="P27" s="848" t="b">
        <v>0</v>
      </c>
      <c r="Q27" s="856" t="s">
        <v>1496</v>
      </c>
    </row>
    <row r="28" spans="1:17" ht="27.75" customHeight="1">
      <c r="A28" s="868" t="s">
        <v>1681</v>
      </c>
      <c r="B28" s="854" t="s">
        <v>304</v>
      </c>
      <c r="C28" s="855">
        <v>42</v>
      </c>
      <c r="E28" s="848" t="b">
        <v>1</v>
      </c>
      <c r="F28" s="848" t="b">
        <v>0</v>
      </c>
      <c r="G28" s="848" t="b">
        <v>0</v>
      </c>
      <c r="H28" s="848" t="b">
        <v>0</v>
      </c>
      <c r="I28" s="848" t="b">
        <v>0</v>
      </c>
      <c r="J28" s="848" t="b">
        <v>0</v>
      </c>
      <c r="K28" s="848" t="b">
        <v>0</v>
      </c>
      <c r="L28" s="848" t="b">
        <v>0</v>
      </c>
      <c r="M28" s="848" t="b">
        <v>0</v>
      </c>
      <c r="N28" s="848" t="b">
        <v>0</v>
      </c>
      <c r="O28" s="848" t="b">
        <v>0</v>
      </c>
      <c r="P28" s="848" t="b">
        <v>0</v>
      </c>
      <c r="Q28" s="856" t="s">
        <v>1496</v>
      </c>
    </row>
    <row r="29" spans="1:17" ht="27.75" customHeight="1">
      <c r="A29" s="868" t="s">
        <v>1681</v>
      </c>
      <c r="B29" s="854" t="s">
        <v>305</v>
      </c>
      <c r="C29" s="855">
        <v>195</v>
      </c>
      <c r="E29" s="848" t="b">
        <v>1</v>
      </c>
      <c r="F29" s="848" t="b">
        <v>0</v>
      </c>
      <c r="G29" s="848" t="b">
        <v>0</v>
      </c>
      <c r="H29" s="848" t="b">
        <v>0</v>
      </c>
      <c r="I29" s="848" t="b">
        <v>0</v>
      </c>
      <c r="J29" s="848" t="b">
        <v>0</v>
      </c>
      <c r="K29" s="848" t="b">
        <v>0</v>
      </c>
      <c r="L29" s="848" t="b">
        <v>0</v>
      </c>
      <c r="M29" s="848" t="b">
        <v>0</v>
      </c>
      <c r="N29" s="848" t="b">
        <v>0</v>
      </c>
      <c r="O29" s="848" t="b">
        <v>0</v>
      </c>
      <c r="P29" s="848" t="b">
        <v>0</v>
      </c>
      <c r="Q29" s="856" t="s">
        <v>1496</v>
      </c>
    </row>
    <row r="30" spans="1:17" ht="27.75" customHeight="1">
      <c r="A30" s="868" t="s">
        <v>1681</v>
      </c>
      <c r="B30" s="854" t="s">
        <v>918</v>
      </c>
      <c r="C30" s="855">
        <v>41</v>
      </c>
      <c r="E30" s="848" t="b">
        <v>1</v>
      </c>
      <c r="F30" s="848" t="b">
        <v>0</v>
      </c>
      <c r="G30" s="848" t="b">
        <v>0</v>
      </c>
      <c r="H30" s="848" t="b">
        <v>0</v>
      </c>
      <c r="I30" s="848" t="b">
        <v>0</v>
      </c>
      <c r="J30" s="848" t="b">
        <v>0</v>
      </c>
      <c r="K30" s="848" t="b">
        <v>0</v>
      </c>
      <c r="L30" s="848" t="b">
        <v>0</v>
      </c>
      <c r="M30" s="848" t="b">
        <v>0</v>
      </c>
      <c r="N30" s="848" t="b">
        <v>0</v>
      </c>
      <c r="O30" s="848" t="b">
        <v>0</v>
      </c>
      <c r="P30" s="848" t="b">
        <v>0</v>
      </c>
      <c r="Q30" s="856" t="s">
        <v>1496</v>
      </c>
    </row>
    <row r="31" spans="1:17" ht="27.75" customHeight="1">
      <c r="A31" s="868" t="s">
        <v>1681</v>
      </c>
      <c r="B31" s="854" t="s">
        <v>919</v>
      </c>
      <c r="C31" s="855">
        <v>10.584999999999999</v>
      </c>
      <c r="E31" s="848" t="b">
        <v>1</v>
      </c>
      <c r="F31" s="848" t="b">
        <v>0</v>
      </c>
      <c r="G31" s="848" t="b">
        <v>0</v>
      </c>
      <c r="H31" s="848" t="b">
        <v>0</v>
      </c>
      <c r="I31" s="848" t="b">
        <v>0</v>
      </c>
      <c r="J31" s="848" t="b">
        <v>0</v>
      </c>
      <c r="K31" s="848" t="b">
        <v>0</v>
      </c>
      <c r="L31" s="848" t="b">
        <v>0</v>
      </c>
      <c r="M31" s="848" t="b">
        <v>0</v>
      </c>
      <c r="N31" s="848" t="b">
        <v>0</v>
      </c>
      <c r="O31" s="848" t="b">
        <v>0</v>
      </c>
      <c r="P31" s="848" t="b">
        <v>0</v>
      </c>
      <c r="Q31" s="856" t="s">
        <v>1496</v>
      </c>
    </row>
    <row r="32" spans="1:17" ht="27.75" customHeight="1">
      <c r="A32" s="868" t="s">
        <v>1681</v>
      </c>
      <c r="B32" s="854" t="s">
        <v>923</v>
      </c>
      <c r="C32" s="855">
        <v>42.5</v>
      </c>
      <c r="E32" s="848" t="b">
        <v>1</v>
      </c>
      <c r="F32" s="848" t="b">
        <v>0</v>
      </c>
      <c r="G32" s="848" t="b">
        <v>0</v>
      </c>
      <c r="H32" s="848" t="b">
        <v>0</v>
      </c>
      <c r="I32" s="848" t="b">
        <v>0</v>
      </c>
      <c r="J32" s="848" t="b">
        <v>0</v>
      </c>
      <c r="K32" s="848" t="b">
        <v>0</v>
      </c>
      <c r="L32" s="848" t="b">
        <v>0</v>
      </c>
      <c r="M32" s="848" t="b">
        <v>0</v>
      </c>
      <c r="N32" s="848" t="b">
        <v>0</v>
      </c>
      <c r="O32" s="848" t="b">
        <v>0</v>
      </c>
      <c r="P32" s="848" t="b">
        <v>0</v>
      </c>
      <c r="Q32" s="856" t="s">
        <v>1496</v>
      </c>
    </row>
    <row r="33" spans="1:17" ht="27.75" customHeight="1">
      <c r="A33" s="868" t="s">
        <v>1681</v>
      </c>
      <c r="B33" s="854" t="s">
        <v>925</v>
      </c>
      <c r="C33" s="855">
        <v>7.4561403508771926</v>
      </c>
      <c r="E33" s="848" t="b">
        <v>1</v>
      </c>
      <c r="F33" s="848" t="b">
        <v>0</v>
      </c>
      <c r="G33" s="848" t="b">
        <v>0</v>
      </c>
      <c r="H33" s="848" t="b">
        <v>0</v>
      </c>
      <c r="I33" s="848" t="b">
        <v>0</v>
      </c>
      <c r="J33" s="848" t="b">
        <v>0</v>
      </c>
      <c r="K33" s="848" t="b">
        <v>0</v>
      </c>
      <c r="L33" s="848" t="b">
        <v>0</v>
      </c>
      <c r="M33" s="848" t="b">
        <v>0</v>
      </c>
      <c r="N33" s="848" t="b">
        <v>0</v>
      </c>
      <c r="O33" s="848" t="b">
        <v>0</v>
      </c>
      <c r="P33" s="848" t="b">
        <v>0</v>
      </c>
      <c r="Q33" s="856" t="s">
        <v>1496</v>
      </c>
    </row>
    <row r="34" spans="1:17" ht="27.75" customHeight="1">
      <c r="A34" s="868" t="s">
        <v>1681</v>
      </c>
      <c r="B34" s="854" t="s">
        <v>926</v>
      </c>
      <c r="C34" s="855">
        <v>0.11</v>
      </c>
      <c r="E34" s="848" t="b">
        <v>1</v>
      </c>
      <c r="F34" s="848" t="b">
        <v>0</v>
      </c>
      <c r="G34" s="848" t="b">
        <v>0</v>
      </c>
      <c r="H34" s="848" t="b">
        <v>0</v>
      </c>
      <c r="I34" s="848" t="b">
        <v>0</v>
      </c>
      <c r="J34" s="848" t="b">
        <v>0</v>
      </c>
      <c r="K34" s="848" t="b">
        <v>0</v>
      </c>
      <c r="L34" s="848" t="b">
        <v>0</v>
      </c>
      <c r="M34" s="848" t="b">
        <v>0</v>
      </c>
      <c r="N34" s="848" t="b">
        <v>0</v>
      </c>
      <c r="O34" s="848" t="b">
        <v>0</v>
      </c>
      <c r="P34" s="848" t="b">
        <v>0</v>
      </c>
      <c r="Q34" s="856" t="s">
        <v>1496</v>
      </c>
    </row>
    <row r="35" spans="1:17" ht="27.75" customHeight="1">
      <c r="A35" s="868" t="s">
        <v>1681</v>
      </c>
      <c r="B35" s="854" t="s">
        <v>921</v>
      </c>
      <c r="C35" s="855">
        <v>1</v>
      </c>
      <c r="E35" s="848" t="b">
        <v>1</v>
      </c>
      <c r="F35" s="848" t="b">
        <v>0</v>
      </c>
      <c r="G35" s="848" t="b">
        <v>0</v>
      </c>
      <c r="H35" s="848" t="b">
        <v>0</v>
      </c>
      <c r="I35" s="848" t="b">
        <v>0</v>
      </c>
      <c r="J35" s="848" t="b">
        <v>0</v>
      </c>
      <c r="K35" s="848" t="b">
        <v>0</v>
      </c>
      <c r="L35" s="848" t="b">
        <v>0</v>
      </c>
      <c r="M35" s="848" t="b">
        <v>0</v>
      </c>
      <c r="N35" s="848" t="b">
        <v>0</v>
      </c>
      <c r="O35" s="848" t="b">
        <v>0</v>
      </c>
      <c r="P35" s="848" t="b">
        <v>0</v>
      </c>
      <c r="Q35" s="856" t="s">
        <v>1496</v>
      </c>
    </row>
    <row r="36" spans="1:17" ht="27.75" customHeight="1">
      <c r="A36" s="868" t="s">
        <v>1681</v>
      </c>
      <c r="B36" s="854" t="s">
        <v>922</v>
      </c>
      <c r="C36" s="855">
        <v>10</v>
      </c>
      <c r="E36" s="848" t="b">
        <v>1</v>
      </c>
      <c r="F36" s="848" t="b">
        <v>0</v>
      </c>
      <c r="G36" s="848" t="b">
        <v>0</v>
      </c>
      <c r="H36" s="848" t="b">
        <v>0</v>
      </c>
      <c r="I36" s="848" t="b">
        <v>0</v>
      </c>
      <c r="J36" s="848" t="b">
        <v>0</v>
      </c>
      <c r="K36" s="848" t="b">
        <v>0</v>
      </c>
      <c r="L36" s="848" t="b">
        <v>0</v>
      </c>
      <c r="M36" s="848" t="b">
        <v>0</v>
      </c>
      <c r="N36" s="848" t="b">
        <v>0</v>
      </c>
      <c r="O36" s="848" t="b">
        <v>0</v>
      </c>
      <c r="P36" s="848" t="b">
        <v>0</v>
      </c>
      <c r="Q36" s="856" t="s">
        <v>1496</v>
      </c>
    </row>
    <row r="37" spans="1:17" ht="27.75" customHeight="1">
      <c r="A37" s="868" t="s">
        <v>1681</v>
      </c>
      <c r="B37" s="854" t="s">
        <v>470</v>
      </c>
      <c r="C37" s="855">
        <v>20.3</v>
      </c>
      <c r="E37" s="848" t="b">
        <v>1</v>
      </c>
      <c r="F37" s="848" t="b">
        <v>0</v>
      </c>
      <c r="G37" s="848" t="b">
        <v>0</v>
      </c>
      <c r="H37" s="848" t="b">
        <v>0</v>
      </c>
      <c r="I37" s="848" t="b">
        <v>0</v>
      </c>
      <c r="J37" s="848" t="b">
        <v>0</v>
      </c>
      <c r="K37" s="848" t="b">
        <v>0</v>
      </c>
      <c r="L37" s="848" t="b">
        <v>0</v>
      </c>
      <c r="M37" s="848" t="b">
        <v>0</v>
      </c>
      <c r="N37" s="848" t="b">
        <v>0</v>
      </c>
      <c r="O37" s="848" t="b">
        <v>0</v>
      </c>
      <c r="P37" s="848" t="b">
        <v>0</v>
      </c>
      <c r="Q37" s="856" t="s">
        <v>1496</v>
      </c>
    </row>
    <row r="38" spans="1:17" ht="27.75" customHeight="1">
      <c r="A38" s="868" t="s">
        <v>1681</v>
      </c>
      <c r="B38" s="854" t="s">
        <v>474</v>
      </c>
      <c r="C38" s="855">
        <v>55.814</v>
      </c>
      <c r="E38" s="848" t="b">
        <v>1</v>
      </c>
      <c r="F38" s="848" t="b">
        <v>0</v>
      </c>
      <c r="G38" s="848" t="b">
        <v>0</v>
      </c>
      <c r="H38" s="848" t="b">
        <v>0</v>
      </c>
      <c r="I38" s="848" t="b">
        <v>0</v>
      </c>
      <c r="J38" s="848" t="b">
        <v>0</v>
      </c>
      <c r="K38" s="848" t="b">
        <v>0</v>
      </c>
      <c r="L38" s="848" t="b">
        <v>0</v>
      </c>
      <c r="M38" s="848" t="b">
        <v>0</v>
      </c>
      <c r="N38" s="848" t="b">
        <v>0</v>
      </c>
      <c r="O38" s="848" t="b">
        <v>0</v>
      </c>
      <c r="P38" s="848" t="b">
        <v>0</v>
      </c>
      <c r="Q38" s="856" t="s">
        <v>1496</v>
      </c>
    </row>
    <row r="39" spans="1:17" ht="27.75" customHeight="1">
      <c r="A39" s="868" t="s">
        <v>1681</v>
      </c>
      <c r="B39" s="854" t="s">
        <v>476</v>
      </c>
      <c r="C39" s="855">
        <v>56.462999999999994</v>
      </c>
      <c r="E39" s="848" t="b">
        <v>1</v>
      </c>
      <c r="F39" s="848" t="b">
        <v>0</v>
      </c>
      <c r="G39" s="848" t="b">
        <v>0</v>
      </c>
      <c r="H39" s="848" t="b">
        <v>0</v>
      </c>
      <c r="I39" s="848" t="b">
        <v>0</v>
      </c>
      <c r="J39" s="848" t="b">
        <v>0</v>
      </c>
      <c r="K39" s="848" t="b">
        <v>0</v>
      </c>
      <c r="L39" s="848" t="b">
        <v>0</v>
      </c>
      <c r="M39" s="848" t="b">
        <v>0</v>
      </c>
      <c r="N39" s="848" t="b">
        <v>0</v>
      </c>
      <c r="O39" s="848" t="b">
        <v>0</v>
      </c>
      <c r="P39" s="848" t="b">
        <v>0</v>
      </c>
      <c r="Q39" s="856" t="s">
        <v>1496</v>
      </c>
    </row>
    <row r="40" spans="1:17" ht="27.75" customHeight="1">
      <c r="A40" s="868" t="s">
        <v>1681</v>
      </c>
      <c r="B40" s="854" t="s">
        <v>480</v>
      </c>
      <c r="C40" s="855">
        <v>1.2</v>
      </c>
      <c r="E40" s="848" t="b">
        <v>1</v>
      </c>
      <c r="F40" s="848" t="b">
        <v>0</v>
      </c>
      <c r="G40" s="848" t="b">
        <v>0</v>
      </c>
      <c r="H40" s="848" t="b">
        <v>0</v>
      </c>
      <c r="I40" s="848" t="b">
        <v>0</v>
      </c>
      <c r="J40" s="848" t="b">
        <v>0</v>
      </c>
      <c r="K40" s="848" t="b">
        <v>0</v>
      </c>
      <c r="L40" s="848" t="b">
        <v>0</v>
      </c>
      <c r="M40" s="848" t="b">
        <v>0</v>
      </c>
      <c r="N40" s="848" t="b">
        <v>0</v>
      </c>
      <c r="O40" s="848" t="b">
        <v>0</v>
      </c>
      <c r="P40" s="848" t="b">
        <v>0</v>
      </c>
      <c r="Q40" s="856" t="s">
        <v>1496</v>
      </c>
    </row>
    <row r="41" spans="1:17" ht="27.75" customHeight="1">
      <c r="A41" s="868" t="s">
        <v>1681</v>
      </c>
      <c r="B41" s="854" t="s">
        <v>483</v>
      </c>
      <c r="C41" s="855">
        <v>23.5</v>
      </c>
      <c r="E41" s="848" t="b">
        <v>1</v>
      </c>
      <c r="F41" s="848" t="b">
        <v>0</v>
      </c>
      <c r="G41" s="848" t="b">
        <v>0</v>
      </c>
      <c r="H41" s="848" t="b">
        <v>0</v>
      </c>
      <c r="I41" s="848" t="b">
        <v>0</v>
      </c>
      <c r="J41" s="848" t="b">
        <v>0</v>
      </c>
      <c r="K41" s="848" t="b">
        <v>0</v>
      </c>
      <c r="L41" s="848" t="b">
        <v>0</v>
      </c>
      <c r="M41" s="848" t="b">
        <v>0</v>
      </c>
      <c r="N41" s="848" t="b">
        <v>0</v>
      </c>
      <c r="O41" s="848" t="b">
        <v>0</v>
      </c>
      <c r="P41" s="848" t="b">
        <v>0</v>
      </c>
      <c r="Q41" s="856" t="s">
        <v>1496</v>
      </c>
    </row>
    <row r="42" spans="1:17" ht="27.75" customHeight="1">
      <c r="A42" s="868" t="s">
        <v>1681</v>
      </c>
      <c r="B42" s="854" t="s">
        <v>486</v>
      </c>
      <c r="C42" s="855">
        <v>7.5</v>
      </c>
      <c r="E42" s="848" t="b">
        <v>1</v>
      </c>
      <c r="F42" s="848" t="b">
        <v>0</v>
      </c>
      <c r="G42" s="848" t="b">
        <v>0</v>
      </c>
      <c r="H42" s="848" t="b">
        <v>0</v>
      </c>
      <c r="I42" s="848" t="b">
        <v>0</v>
      </c>
      <c r="J42" s="848" t="b">
        <v>0</v>
      </c>
      <c r="K42" s="848" t="b">
        <v>0</v>
      </c>
      <c r="L42" s="848" t="b">
        <v>0</v>
      </c>
      <c r="M42" s="848" t="b">
        <v>0</v>
      </c>
      <c r="N42" s="848" t="b">
        <v>0</v>
      </c>
      <c r="O42" s="848" t="b">
        <v>0</v>
      </c>
      <c r="P42" s="848" t="b">
        <v>0</v>
      </c>
      <c r="Q42" s="856" t="s">
        <v>1496</v>
      </c>
    </row>
    <row r="43" spans="1:17" ht="27.75" customHeight="1">
      <c r="A43" s="868" t="s">
        <v>1681</v>
      </c>
      <c r="B43" s="854" t="s">
        <v>489</v>
      </c>
      <c r="C43" s="855">
        <v>7.3</v>
      </c>
      <c r="E43" s="848" t="b">
        <v>1</v>
      </c>
      <c r="F43" s="848" t="b">
        <v>0</v>
      </c>
      <c r="G43" s="848" t="b">
        <v>0</v>
      </c>
      <c r="H43" s="848" t="b">
        <v>0</v>
      </c>
      <c r="I43" s="848" t="b">
        <v>0</v>
      </c>
      <c r="J43" s="848" t="b">
        <v>0</v>
      </c>
      <c r="K43" s="848" t="b">
        <v>0</v>
      </c>
      <c r="L43" s="848" t="b">
        <v>0</v>
      </c>
      <c r="M43" s="848" t="b">
        <v>0</v>
      </c>
      <c r="N43" s="848" t="b">
        <v>0</v>
      </c>
      <c r="O43" s="848" t="b">
        <v>0</v>
      </c>
      <c r="P43" s="848" t="b">
        <v>0</v>
      </c>
      <c r="Q43" s="856" t="s">
        <v>1496</v>
      </c>
    </row>
    <row r="44" spans="1:17" ht="27.75" customHeight="1">
      <c r="A44" s="868" t="s">
        <v>1681</v>
      </c>
      <c r="B44" s="875" t="s">
        <v>492</v>
      </c>
      <c r="C44" s="876">
        <v>5.4</v>
      </c>
      <c r="D44" s="877"/>
      <c r="E44" s="877" t="b">
        <v>1</v>
      </c>
      <c r="F44" s="877" t="b">
        <v>0</v>
      </c>
      <c r="G44" s="877" t="b">
        <v>0</v>
      </c>
      <c r="H44" s="877" t="b">
        <v>0</v>
      </c>
      <c r="I44" s="877" t="b">
        <v>0</v>
      </c>
      <c r="J44" s="877" t="b">
        <v>0</v>
      </c>
      <c r="K44" s="877" t="b">
        <v>0</v>
      </c>
      <c r="L44" s="877" t="b">
        <v>0</v>
      </c>
      <c r="M44" s="877" t="b">
        <v>0</v>
      </c>
      <c r="N44" s="877" t="b">
        <v>0</v>
      </c>
      <c r="O44" s="877" t="b">
        <v>0</v>
      </c>
      <c r="P44" s="877" t="b">
        <v>0</v>
      </c>
      <c r="Q44" s="875" t="s">
        <v>1496</v>
      </c>
    </row>
    <row r="45" spans="1:17" ht="27.75" customHeight="1">
      <c r="A45" s="868" t="s">
        <v>1681</v>
      </c>
      <c r="B45" s="875" t="s">
        <v>497</v>
      </c>
      <c r="C45" s="876">
        <v>15.035953785246829</v>
      </c>
      <c r="D45" s="877"/>
      <c r="E45" s="877" t="b">
        <v>1</v>
      </c>
      <c r="F45" s="877" t="b">
        <v>0</v>
      </c>
      <c r="G45" s="877" t="b">
        <v>0</v>
      </c>
      <c r="H45" s="877" t="b">
        <v>0</v>
      </c>
      <c r="I45" s="877" t="b">
        <v>0</v>
      </c>
      <c r="J45" s="877" t="b">
        <v>0</v>
      </c>
      <c r="K45" s="877" t="b">
        <v>0</v>
      </c>
      <c r="L45" s="877" t="b">
        <v>0</v>
      </c>
      <c r="M45" s="877" t="b">
        <v>0</v>
      </c>
      <c r="N45" s="877" t="b">
        <v>0</v>
      </c>
      <c r="O45" s="877" t="b">
        <v>0</v>
      </c>
      <c r="P45" s="877" t="b">
        <v>0</v>
      </c>
      <c r="Q45" s="875" t="s">
        <v>1496</v>
      </c>
    </row>
    <row r="46" spans="1:17" ht="27.75" customHeight="1">
      <c r="A46" s="868" t="s">
        <v>1681</v>
      </c>
      <c r="B46" s="875" t="s">
        <v>501</v>
      </c>
      <c r="C46" s="876">
        <v>0.43407043407043394</v>
      </c>
      <c r="D46" s="877"/>
      <c r="E46" s="877" t="b">
        <v>1</v>
      </c>
      <c r="F46" s="878" t="b">
        <v>0</v>
      </c>
      <c r="G46" s="877" t="b">
        <v>0</v>
      </c>
      <c r="H46" s="877" t="b">
        <v>0</v>
      </c>
      <c r="I46" s="877" t="b">
        <v>0</v>
      </c>
      <c r="J46" s="877" t="b">
        <v>0</v>
      </c>
      <c r="K46" s="877" t="b">
        <v>0</v>
      </c>
      <c r="L46" s="877" t="b">
        <v>0</v>
      </c>
      <c r="M46" s="877" t="b">
        <v>0</v>
      </c>
      <c r="N46" s="877" t="b">
        <v>0</v>
      </c>
      <c r="O46" s="877" t="b">
        <v>0</v>
      </c>
      <c r="P46" s="877" t="b">
        <v>0</v>
      </c>
      <c r="Q46" s="875" t="s">
        <v>1496</v>
      </c>
    </row>
    <row r="47" spans="1:17" ht="27.75" customHeight="1">
      <c r="A47" s="868" t="s">
        <v>1681</v>
      </c>
      <c r="B47" s="875" t="s">
        <v>502</v>
      </c>
      <c r="C47" s="876">
        <v>0.26837996096291455</v>
      </c>
      <c r="D47" s="877"/>
      <c r="E47" s="877" t="b">
        <v>1</v>
      </c>
      <c r="F47" s="878" t="b">
        <v>0</v>
      </c>
      <c r="G47" s="877" t="b">
        <v>0</v>
      </c>
      <c r="H47" s="877" t="b">
        <v>0</v>
      </c>
      <c r="I47" s="877" t="b">
        <v>0</v>
      </c>
      <c r="J47" s="877" t="b">
        <v>0</v>
      </c>
      <c r="K47" s="877" t="b">
        <v>0</v>
      </c>
      <c r="L47" s="877" t="b">
        <v>0</v>
      </c>
      <c r="M47" s="877" t="b">
        <v>0</v>
      </c>
      <c r="N47" s="877" t="b">
        <v>0</v>
      </c>
      <c r="O47" s="877" t="b">
        <v>0</v>
      </c>
      <c r="P47" s="877" t="b">
        <v>0</v>
      </c>
      <c r="Q47" s="875" t="s">
        <v>1496</v>
      </c>
    </row>
    <row r="48" spans="1:17" ht="27.75" customHeight="1">
      <c r="A48" s="868" t="s">
        <v>1681</v>
      </c>
      <c r="B48" s="854" t="s">
        <v>524</v>
      </c>
      <c r="C48" s="855">
        <v>25.911999999999999</v>
      </c>
      <c r="E48" s="848" t="b">
        <v>1</v>
      </c>
      <c r="F48" s="848" t="b">
        <v>0</v>
      </c>
      <c r="G48" s="848" t="b">
        <v>0</v>
      </c>
      <c r="H48" s="848" t="b">
        <v>0</v>
      </c>
      <c r="I48" s="848" t="b">
        <v>0</v>
      </c>
      <c r="J48" s="848" t="b">
        <v>0</v>
      </c>
      <c r="K48" s="848" t="b">
        <v>0</v>
      </c>
      <c r="L48" s="848" t="b">
        <v>0</v>
      </c>
      <c r="M48" s="848" t="b">
        <v>0</v>
      </c>
      <c r="N48" s="848" t="b">
        <v>0</v>
      </c>
      <c r="O48" s="848" t="b">
        <v>0</v>
      </c>
      <c r="P48" s="848" t="b">
        <v>0</v>
      </c>
      <c r="Q48" s="856" t="s">
        <v>1496</v>
      </c>
    </row>
    <row r="49" spans="1:17" ht="27.75" customHeight="1">
      <c r="A49" s="868" t="s">
        <v>1681</v>
      </c>
      <c r="B49" s="854" t="s">
        <v>528</v>
      </c>
      <c r="C49" s="855">
        <v>22.751999999999999</v>
      </c>
      <c r="E49" s="848" t="b">
        <v>1</v>
      </c>
      <c r="F49" s="848" t="b">
        <v>0</v>
      </c>
      <c r="G49" s="848" t="b">
        <v>0</v>
      </c>
      <c r="H49" s="848" t="b">
        <v>0</v>
      </c>
      <c r="I49" s="848" t="b">
        <v>0</v>
      </c>
      <c r="J49" s="848" t="b">
        <v>0</v>
      </c>
      <c r="K49" s="848" t="b">
        <v>0</v>
      </c>
      <c r="L49" s="848" t="b">
        <v>0</v>
      </c>
      <c r="M49" s="848" t="b">
        <v>0</v>
      </c>
      <c r="N49" s="848" t="b">
        <v>0</v>
      </c>
      <c r="O49" s="848" t="b">
        <v>0</v>
      </c>
      <c r="P49" s="848" t="b">
        <v>0</v>
      </c>
      <c r="Q49" s="856" t="s">
        <v>1496</v>
      </c>
    </row>
    <row r="50" spans="1:17" ht="27.75" customHeight="1">
      <c r="A50" s="868" t="s">
        <v>1681</v>
      </c>
      <c r="B50" s="854" t="s">
        <v>530</v>
      </c>
      <c r="C50" s="855">
        <v>241.24</v>
      </c>
      <c r="E50" s="848" t="b">
        <v>1</v>
      </c>
      <c r="F50" s="848" t="b">
        <v>0</v>
      </c>
      <c r="G50" s="848" t="b">
        <v>0</v>
      </c>
      <c r="H50" s="848" t="b">
        <v>0</v>
      </c>
      <c r="I50" s="848" t="b">
        <v>0</v>
      </c>
      <c r="J50" s="848" t="b">
        <v>0</v>
      </c>
      <c r="K50" s="848" t="b">
        <v>0</v>
      </c>
      <c r="L50" s="848" t="b">
        <v>0</v>
      </c>
      <c r="M50" s="848" t="b">
        <v>0</v>
      </c>
      <c r="N50" s="848" t="b">
        <v>0</v>
      </c>
      <c r="O50" s="848" t="b">
        <v>0</v>
      </c>
      <c r="P50" s="848" t="b">
        <v>0</v>
      </c>
      <c r="Q50" s="856" t="s">
        <v>1496</v>
      </c>
    </row>
    <row r="51" spans="1:17" ht="27.75" customHeight="1">
      <c r="A51" s="868" t="s">
        <v>1681</v>
      </c>
      <c r="B51" s="854" t="s">
        <v>533</v>
      </c>
      <c r="C51" s="855">
        <v>123.75</v>
      </c>
      <c r="E51" s="848" t="b">
        <v>1</v>
      </c>
      <c r="F51" s="848" t="b">
        <v>0</v>
      </c>
      <c r="G51" s="848" t="b">
        <v>0</v>
      </c>
      <c r="H51" s="848" t="b">
        <v>0</v>
      </c>
      <c r="I51" s="848" t="b">
        <v>0</v>
      </c>
      <c r="J51" s="848" t="b">
        <v>0</v>
      </c>
      <c r="K51" s="848" t="b">
        <v>0</v>
      </c>
      <c r="L51" s="848" t="b">
        <v>0</v>
      </c>
      <c r="M51" s="848" t="b">
        <v>0</v>
      </c>
      <c r="N51" s="848" t="b">
        <v>0</v>
      </c>
      <c r="O51" s="848" t="b">
        <v>0</v>
      </c>
      <c r="P51" s="848" t="b">
        <v>0</v>
      </c>
      <c r="Q51" s="856" t="s">
        <v>1496</v>
      </c>
    </row>
    <row r="52" spans="1:17" ht="27.75" customHeight="1">
      <c r="A52" s="868" t="s">
        <v>1681</v>
      </c>
      <c r="B52" s="854" t="s">
        <v>535</v>
      </c>
      <c r="C52" s="855">
        <v>2.1250000000000013</v>
      </c>
      <c r="E52" s="848" t="b">
        <v>1</v>
      </c>
      <c r="F52" s="848" t="b">
        <v>0</v>
      </c>
      <c r="G52" s="848" t="b">
        <v>0</v>
      </c>
      <c r="H52" s="848" t="b">
        <v>0</v>
      </c>
      <c r="I52" s="848" t="b">
        <v>0</v>
      </c>
      <c r="J52" s="848" t="b">
        <v>0</v>
      </c>
      <c r="K52" s="848" t="b">
        <v>0</v>
      </c>
      <c r="L52" s="848" t="b">
        <v>0</v>
      </c>
      <c r="M52" s="848" t="b">
        <v>0</v>
      </c>
      <c r="N52" s="848" t="b">
        <v>0</v>
      </c>
      <c r="O52" s="848" t="b">
        <v>0</v>
      </c>
      <c r="P52" s="848" t="b">
        <v>0</v>
      </c>
      <c r="Q52" s="856" t="s">
        <v>1496</v>
      </c>
    </row>
    <row r="53" spans="1:17" ht="27.75" customHeight="1">
      <c r="A53" s="868" t="s">
        <v>1681</v>
      </c>
      <c r="B53" s="854" t="s">
        <v>537</v>
      </c>
      <c r="C53" s="855">
        <v>122.50000000000001</v>
      </c>
      <c r="E53" s="848" t="b">
        <v>1</v>
      </c>
      <c r="F53" s="848" t="b">
        <v>0</v>
      </c>
      <c r="G53" s="848" t="b">
        <v>0</v>
      </c>
      <c r="H53" s="848" t="b">
        <v>0</v>
      </c>
      <c r="I53" s="848" t="b">
        <v>0</v>
      </c>
      <c r="J53" s="848" t="b">
        <v>0</v>
      </c>
      <c r="K53" s="848" t="b">
        <v>0</v>
      </c>
      <c r="L53" s="848" t="b">
        <v>0</v>
      </c>
      <c r="M53" s="848" t="b">
        <v>0</v>
      </c>
      <c r="N53" s="848" t="b">
        <v>0</v>
      </c>
      <c r="O53" s="848" t="b">
        <v>0</v>
      </c>
      <c r="P53" s="848" t="b">
        <v>0</v>
      </c>
      <c r="Q53" s="856" t="s">
        <v>1496</v>
      </c>
    </row>
    <row r="54" spans="1:17" ht="27.75" customHeight="1">
      <c r="A54" s="868" t="s">
        <v>1681</v>
      </c>
      <c r="B54" s="854" t="s">
        <v>538</v>
      </c>
      <c r="C54" s="855">
        <v>2.1250000000000013</v>
      </c>
      <c r="E54" s="848" t="b">
        <v>1</v>
      </c>
      <c r="F54" s="848" t="b">
        <v>0</v>
      </c>
      <c r="G54" s="848" t="b">
        <v>0</v>
      </c>
      <c r="H54" s="848" t="b">
        <v>0</v>
      </c>
      <c r="I54" s="848" t="b">
        <v>0</v>
      </c>
      <c r="J54" s="848" t="b">
        <v>0</v>
      </c>
      <c r="K54" s="848" t="b">
        <v>0</v>
      </c>
      <c r="L54" s="848" t="b">
        <v>0</v>
      </c>
      <c r="M54" s="848" t="b">
        <v>0</v>
      </c>
      <c r="N54" s="848" t="b">
        <v>0</v>
      </c>
      <c r="O54" s="848" t="b">
        <v>0</v>
      </c>
      <c r="P54" s="848" t="b">
        <v>0</v>
      </c>
      <c r="Q54" s="856" t="s">
        <v>1496</v>
      </c>
    </row>
    <row r="55" spans="1:17" ht="27.75" customHeight="1">
      <c r="A55" s="868" t="s">
        <v>1681</v>
      </c>
      <c r="B55" s="854" t="s">
        <v>539</v>
      </c>
      <c r="C55" s="855">
        <v>122.50000000000001</v>
      </c>
      <c r="E55" s="848" t="b">
        <v>1</v>
      </c>
      <c r="F55" s="848" t="b">
        <v>0</v>
      </c>
      <c r="G55" s="848" t="b">
        <v>0</v>
      </c>
      <c r="H55" s="848" t="b">
        <v>0</v>
      </c>
      <c r="I55" s="848" t="b">
        <v>0</v>
      </c>
      <c r="J55" s="848" t="b">
        <v>0</v>
      </c>
      <c r="K55" s="848" t="b">
        <v>0</v>
      </c>
      <c r="L55" s="848" t="b">
        <v>0</v>
      </c>
      <c r="M55" s="848" t="b">
        <v>0</v>
      </c>
      <c r="N55" s="848" t="b">
        <v>0</v>
      </c>
      <c r="O55" s="848" t="b">
        <v>0</v>
      </c>
      <c r="P55" s="848" t="b">
        <v>0</v>
      </c>
      <c r="Q55" s="856" t="s">
        <v>1496</v>
      </c>
    </row>
    <row r="56" spans="1:17" ht="27.75" customHeight="1">
      <c r="A56" s="868" t="s">
        <v>1681</v>
      </c>
      <c r="B56" s="854" t="s">
        <v>540</v>
      </c>
      <c r="C56" s="855">
        <v>2.1250000000000013</v>
      </c>
      <c r="E56" s="848" t="b">
        <v>1</v>
      </c>
      <c r="F56" s="848" t="b">
        <v>0</v>
      </c>
      <c r="G56" s="848" t="b">
        <v>0</v>
      </c>
      <c r="H56" s="848" t="b">
        <v>0</v>
      </c>
      <c r="I56" s="848" t="b">
        <v>0</v>
      </c>
      <c r="J56" s="848" t="b">
        <v>0</v>
      </c>
      <c r="K56" s="848" t="b">
        <v>0</v>
      </c>
      <c r="L56" s="848" t="b">
        <v>0</v>
      </c>
      <c r="M56" s="848" t="b">
        <v>0</v>
      </c>
      <c r="N56" s="848" t="b">
        <v>0</v>
      </c>
      <c r="O56" s="848" t="b">
        <v>0</v>
      </c>
      <c r="P56" s="848" t="b">
        <v>0</v>
      </c>
      <c r="Q56" s="856" t="s">
        <v>1496</v>
      </c>
    </row>
    <row r="57" spans="1:17" ht="27.75" customHeight="1">
      <c r="A57" s="868" t="s">
        <v>1681</v>
      </c>
      <c r="B57" s="854" t="s">
        <v>541</v>
      </c>
      <c r="C57" s="855">
        <v>8.2160000000000011</v>
      </c>
      <c r="E57" s="848" t="b">
        <v>1</v>
      </c>
      <c r="F57" s="848" t="b">
        <v>0</v>
      </c>
      <c r="G57" s="848" t="b">
        <v>0</v>
      </c>
      <c r="H57" s="848" t="b">
        <v>0</v>
      </c>
      <c r="I57" s="848" t="b">
        <v>0</v>
      </c>
      <c r="J57" s="848" t="b">
        <v>0</v>
      </c>
      <c r="K57" s="848" t="b">
        <v>0</v>
      </c>
      <c r="L57" s="848" t="b">
        <v>0</v>
      </c>
      <c r="M57" s="848" t="b">
        <v>0</v>
      </c>
      <c r="N57" s="848" t="b">
        <v>0</v>
      </c>
      <c r="O57" s="848" t="b">
        <v>0</v>
      </c>
      <c r="P57" s="848" t="b">
        <v>0</v>
      </c>
      <c r="Q57" s="856" t="s">
        <v>1496</v>
      </c>
    </row>
    <row r="58" spans="1:17" ht="27.75" customHeight="1">
      <c r="A58" s="868" t="s">
        <v>1681</v>
      </c>
      <c r="B58" s="854" t="s">
        <v>544</v>
      </c>
      <c r="C58" s="855">
        <v>6.4</v>
      </c>
      <c r="E58" s="848" t="b">
        <v>1</v>
      </c>
      <c r="F58" s="848" t="b">
        <v>0</v>
      </c>
      <c r="G58" s="848" t="b">
        <v>0</v>
      </c>
      <c r="H58" s="848" t="b">
        <v>0</v>
      </c>
      <c r="I58" s="848" t="b">
        <v>0</v>
      </c>
      <c r="J58" s="848" t="b">
        <v>0</v>
      </c>
      <c r="K58" s="848" t="b">
        <v>0</v>
      </c>
      <c r="L58" s="848" t="b">
        <v>0</v>
      </c>
      <c r="M58" s="848" t="b">
        <v>0</v>
      </c>
      <c r="N58" s="848" t="b">
        <v>0</v>
      </c>
      <c r="O58" s="848" t="b">
        <v>0</v>
      </c>
      <c r="P58" s="848" t="b">
        <v>0</v>
      </c>
      <c r="Q58" s="856" t="s">
        <v>1496</v>
      </c>
    </row>
    <row r="59" spans="1:17" ht="27.75" customHeight="1">
      <c r="A59" s="868" t="s">
        <v>1681</v>
      </c>
      <c r="B59" s="854" t="s">
        <v>550</v>
      </c>
      <c r="C59" s="855">
        <v>5.5</v>
      </c>
      <c r="E59" s="848" t="b">
        <v>1</v>
      </c>
      <c r="F59" s="848" t="b">
        <v>0</v>
      </c>
      <c r="G59" s="848" t="b">
        <v>0</v>
      </c>
      <c r="H59" s="848" t="b">
        <v>0</v>
      </c>
      <c r="I59" s="848" t="b">
        <v>0</v>
      </c>
      <c r="J59" s="848" t="b">
        <v>0</v>
      </c>
      <c r="K59" s="848" t="b">
        <v>0</v>
      </c>
      <c r="L59" s="848" t="b">
        <v>0</v>
      </c>
      <c r="M59" s="848" t="b">
        <v>0</v>
      </c>
      <c r="N59" s="848" t="b">
        <v>0</v>
      </c>
      <c r="O59" s="848" t="b">
        <v>0</v>
      </c>
      <c r="P59" s="848" t="b">
        <v>0</v>
      </c>
      <c r="Q59" s="856" t="s">
        <v>1496</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39"/>
  <sheetViews>
    <sheetView topLeftCell="A19" zoomScale="70" zoomScaleNormal="70" workbookViewId="0">
      <selection activeCell="A35" sqref="A35:XFD35"/>
    </sheetView>
  </sheetViews>
  <sheetFormatPr defaultRowHeight="24" customHeight="1"/>
  <cols>
    <col min="1" max="1" width="32.625" style="867" customWidth="1"/>
    <col min="2" max="2" width="24.375" style="857" customWidth="1"/>
    <col min="3" max="3" width="26.375" style="858" customWidth="1"/>
    <col min="4" max="4" width="9" style="848"/>
    <col min="5" max="16" width="9" style="848" hidden="1" customWidth="1"/>
    <col min="17" max="16384" width="9" style="848"/>
  </cols>
  <sheetData>
    <row r="1" spans="1:17" ht="65.25" customHeight="1">
      <c r="A1" s="863" t="s">
        <v>316</v>
      </c>
      <c r="B1" s="846"/>
      <c r="C1" s="847"/>
    </row>
    <row r="2" spans="1:17" s="851" customFormat="1" ht="24" customHeight="1">
      <c r="A2" s="866" t="s">
        <v>317</v>
      </c>
      <c r="B2" s="849" t="s">
        <v>318</v>
      </c>
      <c r="C2" s="850" t="s">
        <v>326</v>
      </c>
      <c r="E2" s="852">
        <v>1</v>
      </c>
      <c r="F2" s="852" t="s">
        <v>828</v>
      </c>
      <c r="G2" s="852">
        <v>2</v>
      </c>
      <c r="H2" s="852" t="s">
        <v>828</v>
      </c>
      <c r="I2" s="852">
        <v>3</v>
      </c>
      <c r="J2" s="852" t="s">
        <v>828</v>
      </c>
      <c r="K2" s="852">
        <v>4</v>
      </c>
      <c r="L2" s="852" t="s">
        <v>828</v>
      </c>
      <c r="M2" s="852">
        <v>5</v>
      </c>
      <c r="N2" s="852" t="s">
        <v>828</v>
      </c>
      <c r="O2" s="852">
        <v>6</v>
      </c>
      <c r="P2" s="852" t="s">
        <v>828</v>
      </c>
      <c r="Q2" s="853">
        <v>2</v>
      </c>
    </row>
    <row r="3" spans="1:17" s="851" customFormat="1" ht="24" customHeight="1">
      <c r="A3" s="866" t="s">
        <v>341</v>
      </c>
      <c r="B3" s="849" t="s">
        <v>342</v>
      </c>
      <c r="C3" s="850" t="s">
        <v>349</v>
      </c>
      <c r="Q3" s="860"/>
    </row>
    <row r="4" spans="1:17" ht="24" customHeight="1">
      <c r="A4" s="865" t="s">
        <v>1682</v>
      </c>
      <c r="B4" s="854" t="s">
        <v>237</v>
      </c>
      <c r="C4" s="855">
        <v>26.6</v>
      </c>
      <c r="E4" s="848" t="b">
        <v>0</v>
      </c>
      <c r="F4" s="848" t="b">
        <v>0</v>
      </c>
      <c r="G4" s="848" t="b">
        <v>1</v>
      </c>
      <c r="H4" s="848" t="b">
        <v>0</v>
      </c>
      <c r="I4" s="848" t="b">
        <v>0</v>
      </c>
      <c r="J4" s="848" t="b">
        <v>0</v>
      </c>
      <c r="K4" s="848" t="b">
        <v>0</v>
      </c>
      <c r="L4" s="848" t="b">
        <v>0</v>
      </c>
      <c r="M4" s="848" t="b">
        <v>0</v>
      </c>
      <c r="N4" s="848" t="b">
        <v>0</v>
      </c>
      <c r="O4" s="848" t="b">
        <v>0</v>
      </c>
      <c r="P4" s="848" t="b">
        <v>0</v>
      </c>
      <c r="Q4" s="856" t="s">
        <v>1496</v>
      </c>
    </row>
    <row r="5" spans="1:17" ht="24" customHeight="1">
      <c r="A5" s="868" t="s">
        <v>1682</v>
      </c>
      <c r="B5" s="854" t="s">
        <v>238</v>
      </c>
      <c r="C5" s="855">
        <v>31</v>
      </c>
      <c r="E5" s="848" t="b">
        <v>0</v>
      </c>
      <c r="F5" s="848" t="b">
        <v>0</v>
      </c>
      <c r="G5" s="848" t="b">
        <v>1</v>
      </c>
      <c r="H5" s="848" t="b">
        <v>0</v>
      </c>
      <c r="I5" s="848" t="b">
        <v>0</v>
      </c>
      <c r="J5" s="848" t="b">
        <v>0</v>
      </c>
      <c r="K5" s="848" t="b">
        <v>0</v>
      </c>
      <c r="L5" s="848" t="b">
        <v>0</v>
      </c>
      <c r="M5" s="848" t="b">
        <v>0</v>
      </c>
      <c r="N5" s="848" t="b">
        <v>0</v>
      </c>
      <c r="O5" s="848" t="b">
        <v>0</v>
      </c>
      <c r="P5" s="848" t="b">
        <v>0</v>
      </c>
      <c r="Q5" s="856" t="s">
        <v>1496</v>
      </c>
    </row>
    <row r="6" spans="1:17" ht="24" customHeight="1">
      <c r="A6" s="868" t="s">
        <v>1682</v>
      </c>
      <c r="B6" s="854" t="s">
        <v>239</v>
      </c>
      <c r="C6" s="855">
        <v>77</v>
      </c>
      <c r="E6" s="848" t="b">
        <v>0</v>
      </c>
      <c r="F6" s="848" t="b">
        <v>0</v>
      </c>
      <c r="G6" s="848" t="b">
        <v>1</v>
      </c>
      <c r="H6" s="848" t="b">
        <v>0</v>
      </c>
      <c r="I6" s="848" t="b">
        <v>0</v>
      </c>
      <c r="J6" s="848" t="b">
        <v>0</v>
      </c>
      <c r="K6" s="848" t="b">
        <v>0</v>
      </c>
      <c r="L6" s="848" t="b">
        <v>0</v>
      </c>
      <c r="M6" s="848" t="b">
        <v>0</v>
      </c>
      <c r="N6" s="848" t="b">
        <v>0</v>
      </c>
      <c r="O6" s="848" t="b">
        <v>0</v>
      </c>
      <c r="P6" s="848" t="b">
        <v>0</v>
      </c>
      <c r="Q6" s="856" t="s">
        <v>1496</v>
      </c>
    </row>
    <row r="7" spans="1:17" ht="24" customHeight="1">
      <c r="A7" s="868" t="s">
        <v>1682</v>
      </c>
      <c r="B7" s="854" t="s">
        <v>240</v>
      </c>
      <c r="C7" s="855">
        <v>72.599999999999994</v>
      </c>
      <c r="E7" s="848" t="b">
        <v>0</v>
      </c>
      <c r="F7" s="848" t="b">
        <v>0</v>
      </c>
      <c r="G7" s="848" t="b">
        <v>1</v>
      </c>
      <c r="H7" s="848" t="b">
        <v>0</v>
      </c>
      <c r="I7" s="848" t="b">
        <v>0</v>
      </c>
      <c r="J7" s="848" t="b">
        <v>0</v>
      </c>
      <c r="K7" s="848" t="b">
        <v>0</v>
      </c>
      <c r="L7" s="848" t="b">
        <v>0</v>
      </c>
      <c r="M7" s="848" t="b">
        <v>0</v>
      </c>
      <c r="N7" s="848" t="b">
        <v>0</v>
      </c>
      <c r="O7" s="848" t="b">
        <v>0</v>
      </c>
      <c r="P7" s="848" t="b">
        <v>0</v>
      </c>
      <c r="Q7" s="856" t="s">
        <v>1496</v>
      </c>
    </row>
    <row r="8" spans="1:17" ht="24" customHeight="1">
      <c r="A8" s="868" t="s">
        <v>1682</v>
      </c>
      <c r="B8" s="854" t="s">
        <v>241</v>
      </c>
      <c r="C8" s="855">
        <v>133.6</v>
      </c>
      <c r="E8" s="848" t="b">
        <v>0</v>
      </c>
      <c r="F8" s="848" t="b">
        <v>0</v>
      </c>
      <c r="G8" s="848" t="b">
        <v>1</v>
      </c>
      <c r="H8" s="848" t="b">
        <v>0</v>
      </c>
      <c r="I8" s="848" t="b">
        <v>0</v>
      </c>
      <c r="J8" s="848" t="b">
        <v>0</v>
      </c>
      <c r="K8" s="848" t="b">
        <v>0</v>
      </c>
      <c r="L8" s="848" t="b">
        <v>0</v>
      </c>
      <c r="M8" s="848" t="b">
        <v>0</v>
      </c>
      <c r="N8" s="848" t="b">
        <v>0</v>
      </c>
      <c r="O8" s="848" t="b">
        <v>0</v>
      </c>
      <c r="P8" s="848" t="b">
        <v>0</v>
      </c>
      <c r="Q8" s="856" t="s">
        <v>1496</v>
      </c>
    </row>
    <row r="9" spans="1:17" ht="24" customHeight="1">
      <c r="A9" s="868" t="s">
        <v>1682</v>
      </c>
      <c r="B9" s="854" t="s">
        <v>242</v>
      </c>
      <c r="C9" s="855">
        <v>12.740000000000002</v>
      </c>
      <c r="E9" s="848" t="b">
        <v>0</v>
      </c>
      <c r="F9" s="848" t="b">
        <v>0</v>
      </c>
      <c r="G9" s="848" t="b">
        <v>1</v>
      </c>
      <c r="H9" s="848" t="b">
        <v>0</v>
      </c>
      <c r="I9" s="848" t="b">
        <v>0</v>
      </c>
      <c r="J9" s="848" t="b">
        <v>0</v>
      </c>
      <c r="K9" s="848" t="b">
        <v>0</v>
      </c>
      <c r="L9" s="848" t="b">
        <v>0</v>
      </c>
      <c r="M9" s="848" t="b">
        <v>0</v>
      </c>
      <c r="N9" s="848" t="b">
        <v>0</v>
      </c>
      <c r="O9" s="848" t="b">
        <v>0</v>
      </c>
      <c r="P9" s="848" t="b">
        <v>0</v>
      </c>
      <c r="Q9" s="856" t="s">
        <v>1496</v>
      </c>
    </row>
    <row r="10" spans="1:17" ht="24" customHeight="1">
      <c r="A10" s="868" t="s">
        <v>1682</v>
      </c>
      <c r="B10" s="854" t="s">
        <v>248</v>
      </c>
      <c r="C10" s="855">
        <v>15.827338129496402</v>
      </c>
      <c r="E10" s="848" t="b">
        <v>0</v>
      </c>
      <c r="F10" s="848" t="b">
        <v>0</v>
      </c>
      <c r="G10" s="848" t="b">
        <v>1</v>
      </c>
      <c r="H10" s="848" t="b">
        <v>0</v>
      </c>
      <c r="I10" s="848" t="b">
        <v>0</v>
      </c>
      <c r="J10" s="848" t="b">
        <v>0</v>
      </c>
      <c r="K10" s="848" t="b">
        <v>0</v>
      </c>
      <c r="L10" s="848" t="b">
        <v>0</v>
      </c>
      <c r="M10" s="848" t="b">
        <v>0</v>
      </c>
      <c r="N10" s="848" t="b">
        <v>0</v>
      </c>
      <c r="O10" s="848" t="b">
        <v>0</v>
      </c>
      <c r="P10" s="848" t="b">
        <v>0</v>
      </c>
      <c r="Q10" s="856" t="s">
        <v>1496</v>
      </c>
    </row>
    <row r="11" spans="1:17" ht="24" customHeight="1">
      <c r="A11" s="868" t="s">
        <v>1682</v>
      </c>
      <c r="B11" s="854" t="s">
        <v>250</v>
      </c>
      <c r="C11" s="855">
        <v>1.63</v>
      </c>
      <c r="E11" s="848" t="b">
        <v>0</v>
      </c>
      <c r="F11" s="848" t="b">
        <v>0</v>
      </c>
      <c r="G11" s="848" t="b">
        <v>1</v>
      </c>
      <c r="H11" s="848" t="b">
        <v>0</v>
      </c>
      <c r="I11" s="848" t="b">
        <v>0</v>
      </c>
      <c r="J11" s="848" t="b">
        <v>0</v>
      </c>
      <c r="K11" s="848" t="b">
        <v>0</v>
      </c>
      <c r="L11" s="848" t="b">
        <v>0</v>
      </c>
      <c r="M11" s="848" t="b">
        <v>0</v>
      </c>
      <c r="N11" s="848" t="b">
        <v>0</v>
      </c>
      <c r="O11" s="848" t="b">
        <v>0</v>
      </c>
      <c r="P11" s="848" t="b">
        <v>0</v>
      </c>
      <c r="Q11" s="856" t="s">
        <v>1496</v>
      </c>
    </row>
    <row r="12" spans="1:17" ht="24" customHeight="1">
      <c r="A12" s="868" t="s">
        <v>1682</v>
      </c>
      <c r="B12" s="854" t="s">
        <v>243</v>
      </c>
      <c r="C12" s="855">
        <v>0.43343749999999998</v>
      </c>
      <c r="E12" s="848" t="b">
        <v>0</v>
      </c>
      <c r="F12" s="848" t="b">
        <v>0</v>
      </c>
      <c r="G12" s="848" t="b">
        <v>1</v>
      </c>
      <c r="H12" s="848" t="b">
        <v>0</v>
      </c>
      <c r="I12" s="848" t="b">
        <v>0</v>
      </c>
      <c r="J12" s="848" t="b">
        <v>0</v>
      </c>
      <c r="K12" s="848" t="b">
        <v>0</v>
      </c>
      <c r="L12" s="848" t="b">
        <v>0</v>
      </c>
      <c r="M12" s="848" t="b">
        <v>0</v>
      </c>
      <c r="N12" s="848" t="b">
        <v>0</v>
      </c>
      <c r="O12" s="848" t="b">
        <v>0</v>
      </c>
      <c r="P12" s="848" t="b">
        <v>0</v>
      </c>
      <c r="Q12" s="856" t="s">
        <v>1496</v>
      </c>
    </row>
    <row r="13" spans="1:17" ht="24" customHeight="1">
      <c r="A13" s="868" t="s">
        <v>1682</v>
      </c>
      <c r="B13" s="854" t="s">
        <v>245</v>
      </c>
      <c r="C13" s="855">
        <v>0.13459375000000001</v>
      </c>
      <c r="E13" s="848" t="b">
        <v>0</v>
      </c>
      <c r="F13" s="848" t="b">
        <v>0</v>
      </c>
      <c r="G13" s="848" t="b">
        <v>1</v>
      </c>
      <c r="H13" s="848" t="b">
        <v>0</v>
      </c>
      <c r="I13" s="848" t="b">
        <v>0</v>
      </c>
      <c r="J13" s="848" t="b">
        <v>0</v>
      </c>
      <c r="K13" s="848" t="b">
        <v>0</v>
      </c>
      <c r="L13" s="848" t="b">
        <v>0</v>
      </c>
      <c r="M13" s="848" t="b">
        <v>0</v>
      </c>
      <c r="N13" s="848" t="b">
        <v>0</v>
      </c>
      <c r="O13" s="848" t="b">
        <v>0</v>
      </c>
      <c r="P13" s="848" t="b">
        <v>0</v>
      </c>
      <c r="Q13" s="856" t="s">
        <v>1496</v>
      </c>
    </row>
    <row r="14" spans="1:17" ht="24" customHeight="1">
      <c r="A14" s="868" t="s">
        <v>1682</v>
      </c>
      <c r="B14" s="854" t="s">
        <v>260</v>
      </c>
      <c r="C14" s="855">
        <v>72.688000000000002</v>
      </c>
      <c r="E14" s="848" t="b">
        <v>0</v>
      </c>
      <c r="F14" s="848" t="b">
        <v>0</v>
      </c>
      <c r="G14" s="848" t="b">
        <v>1</v>
      </c>
      <c r="H14" s="848" t="b">
        <v>0</v>
      </c>
      <c r="I14" s="848" t="b">
        <v>0</v>
      </c>
      <c r="J14" s="848" t="b">
        <v>0</v>
      </c>
      <c r="K14" s="848" t="b">
        <v>0</v>
      </c>
      <c r="L14" s="848" t="b">
        <v>0</v>
      </c>
      <c r="M14" s="848" t="b">
        <v>0</v>
      </c>
      <c r="N14" s="848" t="b">
        <v>0</v>
      </c>
      <c r="O14" s="848" t="b">
        <v>0</v>
      </c>
      <c r="P14" s="848" t="b">
        <v>0</v>
      </c>
      <c r="Q14" s="856" t="s">
        <v>1496</v>
      </c>
    </row>
    <row r="15" spans="1:17" ht="24" customHeight="1">
      <c r="A15" s="868" t="s">
        <v>1682</v>
      </c>
      <c r="B15" s="854" t="s">
        <v>261</v>
      </c>
      <c r="C15" s="855">
        <v>74.959500000000006</v>
      </c>
      <c r="E15" s="848" t="b">
        <v>0</v>
      </c>
      <c r="F15" s="848" t="b">
        <v>0</v>
      </c>
      <c r="G15" s="848" t="b">
        <v>1</v>
      </c>
      <c r="H15" s="848" t="b">
        <v>0</v>
      </c>
      <c r="I15" s="848" t="b">
        <v>0</v>
      </c>
      <c r="J15" s="848" t="b">
        <v>0</v>
      </c>
      <c r="K15" s="848" t="b">
        <v>0</v>
      </c>
      <c r="L15" s="848" t="b">
        <v>0</v>
      </c>
      <c r="M15" s="848" t="b">
        <v>0</v>
      </c>
      <c r="N15" s="848" t="b">
        <v>0</v>
      </c>
      <c r="O15" s="848" t="b">
        <v>0</v>
      </c>
      <c r="P15" s="848" t="b">
        <v>0</v>
      </c>
      <c r="Q15" s="856" t="s">
        <v>1496</v>
      </c>
    </row>
    <row r="16" spans="1:17" ht="24" customHeight="1">
      <c r="A16" s="868" t="s">
        <v>1682</v>
      </c>
      <c r="B16" s="854" t="s">
        <v>262</v>
      </c>
      <c r="C16" s="855">
        <v>60.06</v>
      </c>
      <c r="E16" s="848" t="b">
        <v>0</v>
      </c>
      <c r="F16" s="848" t="b">
        <v>0</v>
      </c>
      <c r="G16" s="848" t="b">
        <v>1</v>
      </c>
      <c r="H16" s="848" t="b">
        <v>0</v>
      </c>
      <c r="I16" s="848" t="b">
        <v>0</v>
      </c>
      <c r="J16" s="848" t="b">
        <v>0</v>
      </c>
      <c r="K16" s="848" t="b">
        <v>0</v>
      </c>
      <c r="L16" s="848" t="b">
        <v>0</v>
      </c>
      <c r="M16" s="848" t="b">
        <v>0</v>
      </c>
      <c r="N16" s="848" t="b">
        <v>0</v>
      </c>
      <c r="O16" s="848" t="b">
        <v>0</v>
      </c>
      <c r="P16" s="848" t="b">
        <v>0</v>
      </c>
      <c r="Q16" s="856" t="s">
        <v>1496</v>
      </c>
    </row>
    <row r="17" spans="1:17" ht="24" customHeight="1">
      <c r="A17" s="868" t="s">
        <v>1682</v>
      </c>
      <c r="B17" s="854" t="s">
        <v>263</v>
      </c>
      <c r="C17" s="855">
        <v>62.601000000000006</v>
      </c>
      <c r="E17" s="848" t="b">
        <v>0</v>
      </c>
      <c r="F17" s="848" t="b">
        <v>0</v>
      </c>
      <c r="G17" s="848" t="b">
        <v>1</v>
      </c>
      <c r="H17" s="848" t="b">
        <v>0</v>
      </c>
      <c r="I17" s="848" t="b">
        <v>0</v>
      </c>
      <c r="J17" s="848" t="b">
        <v>0</v>
      </c>
      <c r="K17" s="848" t="b">
        <v>0</v>
      </c>
      <c r="L17" s="848" t="b">
        <v>0</v>
      </c>
      <c r="M17" s="848" t="b">
        <v>0</v>
      </c>
      <c r="N17" s="848" t="b">
        <v>0</v>
      </c>
      <c r="O17" s="848" t="b">
        <v>0</v>
      </c>
      <c r="P17" s="848" t="b">
        <v>0</v>
      </c>
      <c r="Q17" s="856" t="s">
        <v>1496</v>
      </c>
    </row>
    <row r="18" spans="1:17" ht="24" customHeight="1">
      <c r="A18" s="868" t="s">
        <v>1682</v>
      </c>
      <c r="B18" s="854" t="s">
        <v>264</v>
      </c>
      <c r="C18" s="855">
        <v>144.80000000000001</v>
      </c>
      <c r="E18" s="848" t="b">
        <v>0</v>
      </c>
      <c r="F18" s="848" t="b">
        <v>0</v>
      </c>
      <c r="G18" s="848" t="b">
        <v>1</v>
      </c>
      <c r="H18" s="848" t="b">
        <v>0</v>
      </c>
      <c r="I18" s="848" t="b">
        <v>0</v>
      </c>
      <c r="J18" s="848" t="b">
        <v>0</v>
      </c>
      <c r="K18" s="848" t="b">
        <v>0</v>
      </c>
      <c r="L18" s="848" t="b">
        <v>0</v>
      </c>
      <c r="M18" s="848" t="b">
        <v>0</v>
      </c>
      <c r="N18" s="848" t="b">
        <v>0</v>
      </c>
      <c r="O18" s="848" t="b">
        <v>0</v>
      </c>
      <c r="P18" s="848" t="b">
        <v>0</v>
      </c>
      <c r="Q18" s="856" t="s">
        <v>1496</v>
      </c>
    </row>
    <row r="19" spans="1:17" ht="24" customHeight="1">
      <c r="A19" s="868" t="s">
        <v>1682</v>
      </c>
      <c r="B19" s="854" t="s">
        <v>265</v>
      </c>
      <c r="C19" s="855">
        <v>9.75</v>
      </c>
      <c r="E19" s="848" t="b">
        <v>0</v>
      </c>
      <c r="F19" s="848" t="b">
        <v>0</v>
      </c>
      <c r="G19" s="848" t="b">
        <v>1</v>
      </c>
      <c r="H19" s="848" t="b">
        <v>0</v>
      </c>
      <c r="I19" s="848" t="b">
        <v>0</v>
      </c>
      <c r="J19" s="848" t="b">
        <v>0</v>
      </c>
      <c r="K19" s="848" t="b">
        <v>0</v>
      </c>
      <c r="L19" s="848" t="b">
        <v>0</v>
      </c>
      <c r="M19" s="848" t="b">
        <v>0</v>
      </c>
      <c r="N19" s="848" t="b">
        <v>0</v>
      </c>
      <c r="O19" s="848" t="b">
        <v>0</v>
      </c>
      <c r="P19" s="848" t="b">
        <v>0</v>
      </c>
      <c r="Q19" s="856" t="s">
        <v>1496</v>
      </c>
    </row>
    <row r="20" spans="1:17" ht="24" customHeight="1">
      <c r="A20" s="868" t="s">
        <v>1682</v>
      </c>
      <c r="B20" s="854" t="s">
        <v>266</v>
      </c>
      <c r="C20" s="855">
        <v>7.13131</v>
      </c>
      <c r="E20" s="848" t="b">
        <v>0</v>
      </c>
      <c r="F20" s="848" t="b">
        <v>0</v>
      </c>
      <c r="G20" s="848" t="b">
        <v>1</v>
      </c>
      <c r="H20" s="848" t="b">
        <v>0</v>
      </c>
      <c r="I20" s="848" t="b">
        <v>0</v>
      </c>
      <c r="J20" s="848" t="b">
        <v>0</v>
      </c>
      <c r="K20" s="848" t="b">
        <v>0</v>
      </c>
      <c r="L20" s="848" t="b">
        <v>0</v>
      </c>
      <c r="M20" s="848" t="b">
        <v>0</v>
      </c>
      <c r="N20" s="848" t="b">
        <v>0</v>
      </c>
      <c r="O20" s="848" t="b">
        <v>0</v>
      </c>
      <c r="P20" s="848" t="b">
        <v>0</v>
      </c>
      <c r="Q20" s="856" t="s">
        <v>1496</v>
      </c>
    </row>
    <row r="21" spans="1:17" ht="24" customHeight="1">
      <c r="A21" s="868" t="s">
        <v>1682</v>
      </c>
      <c r="B21" s="854" t="s">
        <v>267</v>
      </c>
      <c r="C21" s="855">
        <v>2.2400000000000002</v>
      </c>
      <c r="E21" s="848" t="b">
        <v>0</v>
      </c>
      <c r="F21" s="848" t="b">
        <v>0</v>
      </c>
      <c r="G21" s="848" t="b">
        <v>1</v>
      </c>
      <c r="H21" s="848" t="b">
        <v>0</v>
      </c>
      <c r="I21" s="848" t="b">
        <v>0</v>
      </c>
      <c r="J21" s="848" t="b">
        <v>0</v>
      </c>
      <c r="K21" s="848" t="b">
        <v>0</v>
      </c>
      <c r="L21" s="848" t="b">
        <v>0</v>
      </c>
      <c r="M21" s="848" t="b">
        <v>0</v>
      </c>
      <c r="N21" s="848" t="b">
        <v>0</v>
      </c>
      <c r="O21" s="848" t="b">
        <v>0</v>
      </c>
      <c r="P21" s="848" t="b">
        <v>0</v>
      </c>
      <c r="Q21" s="856" t="s">
        <v>1496</v>
      </c>
    </row>
    <row r="22" spans="1:17" ht="24" customHeight="1">
      <c r="A22" s="868" t="s">
        <v>1682</v>
      </c>
      <c r="B22" s="854" t="s">
        <v>268</v>
      </c>
      <c r="C22" s="855">
        <v>0.47906250000000006</v>
      </c>
      <c r="E22" s="848" t="b">
        <v>0</v>
      </c>
      <c r="F22" s="848" t="b">
        <v>0</v>
      </c>
      <c r="G22" s="848" t="b">
        <v>1</v>
      </c>
      <c r="H22" s="848" t="b">
        <v>0</v>
      </c>
      <c r="I22" s="848" t="b">
        <v>0</v>
      </c>
      <c r="J22" s="848" t="b">
        <v>0</v>
      </c>
      <c r="K22" s="848" t="b">
        <v>0</v>
      </c>
      <c r="L22" s="848" t="b">
        <v>0</v>
      </c>
      <c r="M22" s="848" t="b">
        <v>0</v>
      </c>
      <c r="N22" s="848" t="b">
        <v>0</v>
      </c>
      <c r="O22" s="848" t="b">
        <v>0</v>
      </c>
      <c r="P22" s="848" t="b">
        <v>0</v>
      </c>
      <c r="Q22" s="856" t="s">
        <v>1496</v>
      </c>
    </row>
    <row r="23" spans="1:17" ht="24" customHeight="1">
      <c r="A23" s="868" t="s">
        <v>1682</v>
      </c>
      <c r="B23" s="854" t="s">
        <v>270</v>
      </c>
      <c r="C23" s="855">
        <v>8.2125000000000004E-2</v>
      </c>
      <c r="E23" s="848" t="b">
        <v>0</v>
      </c>
      <c r="F23" s="848" t="b">
        <v>0</v>
      </c>
      <c r="G23" s="848" t="b">
        <v>1</v>
      </c>
      <c r="H23" s="848" t="b">
        <v>0</v>
      </c>
      <c r="I23" s="848" t="b">
        <v>0</v>
      </c>
      <c r="J23" s="848" t="b">
        <v>0</v>
      </c>
      <c r="K23" s="848" t="b">
        <v>0</v>
      </c>
      <c r="L23" s="848" t="b">
        <v>0</v>
      </c>
      <c r="M23" s="848" t="b">
        <v>0</v>
      </c>
      <c r="N23" s="848" t="b">
        <v>0</v>
      </c>
      <c r="O23" s="848" t="b">
        <v>0</v>
      </c>
      <c r="P23" s="848" t="b">
        <v>0</v>
      </c>
      <c r="Q23" s="856" t="s">
        <v>1496</v>
      </c>
    </row>
    <row r="24" spans="1:17" ht="24" customHeight="1">
      <c r="A24" s="868" t="s">
        <v>1682</v>
      </c>
      <c r="B24" s="854" t="s">
        <v>271</v>
      </c>
      <c r="C24" s="855">
        <v>1.3229999999999999E-2</v>
      </c>
      <c r="E24" s="848" t="b">
        <v>0</v>
      </c>
      <c r="F24" s="848" t="b">
        <v>0</v>
      </c>
      <c r="G24" s="848" t="b">
        <v>1</v>
      </c>
      <c r="H24" s="848" t="b">
        <v>0</v>
      </c>
      <c r="I24" s="848" t="b">
        <v>0</v>
      </c>
      <c r="J24" s="848" t="b">
        <v>0</v>
      </c>
      <c r="K24" s="848" t="b">
        <v>0</v>
      </c>
      <c r="L24" s="848" t="b">
        <v>0</v>
      </c>
      <c r="M24" s="848" t="b">
        <v>0</v>
      </c>
      <c r="N24" s="848" t="b">
        <v>0</v>
      </c>
      <c r="O24" s="848" t="b">
        <v>0</v>
      </c>
      <c r="P24" s="848" t="b">
        <v>0</v>
      </c>
      <c r="Q24" s="856" t="s">
        <v>1496</v>
      </c>
    </row>
    <row r="25" spans="1:17" ht="24" customHeight="1">
      <c r="A25" s="868" t="s">
        <v>1682</v>
      </c>
      <c r="B25" s="854" t="s">
        <v>281</v>
      </c>
      <c r="C25" s="855">
        <v>178</v>
      </c>
      <c r="E25" s="848" t="b">
        <v>0</v>
      </c>
      <c r="F25" s="848" t="b">
        <v>0</v>
      </c>
      <c r="G25" s="848" t="b">
        <v>1</v>
      </c>
      <c r="H25" s="848" t="b">
        <v>0</v>
      </c>
      <c r="I25" s="848" t="b">
        <v>0</v>
      </c>
      <c r="J25" s="848" t="b">
        <v>0</v>
      </c>
      <c r="K25" s="848" t="b">
        <v>0</v>
      </c>
      <c r="L25" s="848" t="b">
        <v>0</v>
      </c>
      <c r="M25" s="848" t="b">
        <v>0</v>
      </c>
      <c r="N25" s="848" t="b">
        <v>0</v>
      </c>
      <c r="O25" s="848" t="b">
        <v>0</v>
      </c>
      <c r="P25" s="848" t="b">
        <v>0</v>
      </c>
      <c r="Q25" s="856" t="s">
        <v>1496</v>
      </c>
    </row>
    <row r="26" spans="1:17" ht="24" customHeight="1">
      <c r="A26" s="868" t="s">
        <v>1682</v>
      </c>
      <c r="B26" s="854" t="s">
        <v>282</v>
      </c>
      <c r="C26" s="855">
        <v>32</v>
      </c>
      <c r="E26" s="848" t="b">
        <v>0</v>
      </c>
      <c r="F26" s="848" t="b">
        <v>0</v>
      </c>
      <c r="G26" s="848" t="b">
        <v>1</v>
      </c>
      <c r="H26" s="848" t="b">
        <v>0</v>
      </c>
      <c r="I26" s="848" t="b">
        <v>0</v>
      </c>
      <c r="J26" s="848" t="b">
        <v>0</v>
      </c>
      <c r="K26" s="848" t="b">
        <v>0</v>
      </c>
      <c r="L26" s="848" t="b">
        <v>0</v>
      </c>
      <c r="M26" s="848" t="b">
        <v>0</v>
      </c>
      <c r="N26" s="848" t="b">
        <v>0</v>
      </c>
      <c r="O26" s="848" t="b">
        <v>0</v>
      </c>
      <c r="P26" s="848" t="b">
        <v>0</v>
      </c>
      <c r="Q26" s="856" t="s">
        <v>1496</v>
      </c>
    </row>
    <row r="27" spans="1:17" ht="24" customHeight="1">
      <c r="A27" s="868" t="s">
        <v>1682</v>
      </c>
      <c r="B27" s="854" t="s">
        <v>283</v>
      </c>
      <c r="C27" s="855">
        <v>50.9465</v>
      </c>
      <c r="E27" s="848" t="b">
        <v>0</v>
      </c>
      <c r="F27" s="848" t="b">
        <v>0</v>
      </c>
      <c r="G27" s="848" t="b">
        <v>1</v>
      </c>
      <c r="H27" s="848" t="b">
        <v>0</v>
      </c>
      <c r="I27" s="848" t="b">
        <v>0</v>
      </c>
      <c r="J27" s="848" t="b">
        <v>0</v>
      </c>
      <c r="K27" s="848" t="b">
        <v>0</v>
      </c>
      <c r="L27" s="848" t="b">
        <v>0</v>
      </c>
      <c r="M27" s="848" t="b">
        <v>0</v>
      </c>
      <c r="N27" s="848" t="b">
        <v>0</v>
      </c>
      <c r="O27" s="848" t="b">
        <v>0</v>
      </c>
      <c r="P27" s="848" t="b">
        <v>0</v>
      </c>
      <c r="Q27" s="856" t="s">
        <v>1496</v>
      </c>
    </row>
    <row r="28" spans="1:17" ht="24" customHeight="1">
      <c r="A28" s="868" t="s">
        <v>1682</v>
      </c>
      <c r="B28" s="854" t="s">
        <v>284</v>
      </c>
      <c r="C28" s="855">
        <v>50.297499999999999</v>
      </c>
      <c r="E28" s="848" t="b">
        <v>0</v>
      </c>
      <c r="F28" s="848" t="b">
        <v>0</v>
      </c>
      <c r="G28" s="848" t="b">
        <v>1</v>
      </c>
      <c r="H28" s="848" t="b">
        <v>0</v>
      </c>
      <c r="I28" s="848" t="b">
        <v>0</v>
      </c>
      <c r="J28" s="848" t="b">
        <v>0</v>
      </c>
      <c r="K28" s="848" t="b">
        <v>0</v>
      </c>
      <c r="L28" s="848" t="b">
        <v>0</v>
      </c>
      <c r="M28" s="848" t="b">
        <v>0</v>
      </c>
      <c r="N28" s="848" t="b">
        <v>0</v>
      </c>
      <c r="O28" s="848" t="b">
        <v>0</v>
      </c>
      <c r="P28" s="848" t="b">
        <v>0</v>
      </c>
      <c r="Q28" s="856" t="s">
        <v>1496</v>
      </c>
    </row>
    <row r="29" spans="1:17" ht="24" customHeight="1">
      <c r="A29" s="868" t="s">
        <v>1682</v>
      </c>
      <c r="B29" s="854" t="s">
        <v>285</v>
      </c>
      <c r="C29" s="855">
        <v>61.908000000000001</v>
      </c>
      <c r="E29" s="848" t="b">
        <v>0</v>
      </c>
      <c r="F29" s="848" t="b">
        <v>0</v>
      </c>
      <c r="G29" s="848" t="b">
        <v>1</v>
      </c>
      <c r="H29" s="848" t="b">
        <v>0</v>
      </c>
      <c r="I29" s="848" t="b">
        <v>0</v>
      </c>
      <c r="J29" s="848" t="b">
        <v>0</v>
      </c>
      <c r="K29" s="848" t="b">
        <v>0</v>
      </c>
      <c r="L29" s="848" t="b">
        <v>0</v>
      </c>
      <c r="M29" s="848" t="b">
        <v>0</v>
      </c>
      <c r="N29" s="848" t="b">
        <v>0</v>
      </c>
      <c r="O29" s="848" t="b">
        <v>0</v>
      </c>
      <c r="P29" s="848" t="b">
        <v>0</v>
      </c>
      <c r="Q29" s="856" t="s">
        <v>1496</v>
      </c>
    </row>
    <row r="30" spans="1:17" ht="24" customHeight="1">
      <c r="A30" s="868" t="s">
        <v>1682</v>
      </c>
      <c r="B30" s="854" t="s">
        <v>286</v>
      </c>
      <c r="C30" s="855">
        <v>60.753</v>
      </c>
      <c r="E30" s="848" t="b">
        <v>0</v>
      </c>
      <c r="F30" s="848" t="b">
        <v>0</v>
      </c>
      <c r="G30" s="848" t="b">
        <v>1</v>
      </c>
      <c r="H30" s="848" t="b">
        <v>0</v>
      </c>
      <c r="I30" s="848" t="b">
        <v>0</v>
      </c>
      <c r="J30" s="848" t="b">
        <v>0</v>
      </c>
      <c r="K30" s="848" t="b">
        <v>0</v>
      </c>
      <c r="L30" s="848" t="b">
        <v>0</v>
      </c>
      <c r="M30" s="848" t="b">
        <v>0</v>
      </c>
      <c r="N30" s="848" t="b">
        <v>0</v>
      </c>
      <c r="O30" s="848" t="b">
        <v>0</v>
      </c>
      <c r="P30" s="848" t="b">
        <v>0</v>
      </c>
      <c r="Q30" s="856" t="s">
        <v>1496</v>
      </c>
    </row>
    <row r="31" spans="1:17" ht="24" customHeight="1">
      <c r="A31" s="868" t="s">
        <v>1682</v>
      </c>
      <c r="B31" s="854" t="s">
        <v>287</v>
      </c>
      <c r="C31" s="855">
        <v>143.19999999999999</v>
      </c>
      <c r="E31" s="848" t="b">
        <v>0</v>
      </c>
      <c r="F31" s="848" t="b">
        <v>0</v>
      </c>
      <c r="G31" s="848" t="b">
        <v>1</v>
      </c>
      <c r="H31" s="848" t="b">
        <v>0</v>
      </c>
      <c r="I31" s="848" t="b">
        <v>0</v>
      </c>
      <c r="J31" s="848" t="b">
        <v>0</v>
      </c>
      <c r="K31" s="848" t="b">
        <v>0</v>
      </c>
      <c r="L31" s="848" t="b">
        <v>0</v>
      </c>
      <c r="M31" s="848" t="b">
        <v>0</v>
      </c>
      <c r="N31" s="848" t="b">
        <v>0</v>
      </c>
      <c r="O31" s="848" t="b">
        <v>0</v>
      </c>
      <c r="P31" s="848" t="b">
        <v>0</v>
      </c>
      <c r="Q31" s="856" t="s">
        <v>1496</v>
      </c>
    </row>
    <row r="32" spans="1:17" ht="24" customHeight="1">
      <c r="A32" s="868" t="s">
        <v>1682</v>
      </c>
      <c r="B32" s="854" t="s">
        <v>288</v>
      </c>
      <c r="C32" s="855">
        <v>8.3849999999999998</v>
      </c>
      <c r="E32" s="848" t="b">
        <v>0</v>
      </c>
      <c r="F32" s="848" t="b">
        <v>0</v>
      </c>
      <c r="G32" s="848" t="b">
        <v>1</v>
      </c>
      <c r="H32" s="848" t="b">
        <v>0</v>
      </c>
      <c r="I32" s="848" t="b">
        <v>0</v>
      </c>
      <c r="J32" s="848" t="b">
        <v>0</v>
      </c>
      <c r="K32" s="848" t="b">
        <v>0</v>
      </c>
      <c r="L32" s="848" t="b">
        <v>0</v>
      </c>
      <c r="M32" s="848" t="b">
        <v>0</v>
      </c>
      <c r="N32" s="848" t="b">
        <v>0</v>
      </c>
      <c r="O32" s="848" t="b">
        <v>0</v>
      </c>
      <c r="P32" s="848" t="b">
        <v>0</v>
      </c>
      <c r="Q32" s="856" t="s">
        <v>1496</v>
      </c>
    </row>
    <row r="33" spans="1:17" ht="24" customHeight="1">
      <c r="A33" s="868" t="s">
        <v>1682</v>
      </c>
      <c r="B33" s="854" t="s">
        <v>289</v>
      </c>
      <c r="C33" s="855">
        <v>6.6864250000000007</v>
      </c>
      <c r="E33" s="848" t="b">
        <v>0</v>
      </c>
      <c r="F33" s="848" t="b">
        <v>0</v>
      </c>
      <c r="G33" s="848" t="b">
        <v>1</v>
      </c>
      <c r="H33" s="848" t="b">
        <v>0</v>
      </c>
      <c r="I33" s="848" t="b">
        <v>0</v>
      </c>
      <c r="J33" s="848" t="b">
        <v>0</v>
      </c>
      <c r="K33" s="848" t="b">
        <v>0</v>
      </c>
      <c r="L33" s="848" t="b">
        <v>0</v>
      </c>
      <c r="M33" s="848" t="b">
        <v>0</v>
      </c>
      <c r="N33" s="848" t="b">
        <v>0</v>
      </c>
      <c r="O33" s="848" t="b">
        <v>0</v>
      </c>
      <c r="P33" s="848" t="b">
        <v>0</v>
      </c>
      <c r="Q33" s="856" t="s">
        <v>1496</v>
      </c>
    </row>
    <row r="34" spans="1:17" ht="24" customHeight="1">
      <c r="A34" s="868" t="s">
        <v>1682</v>
      </c>
      <c r="B34" s="854" t="s">
        <v>290</v>
      </c>
      <c r="C34" s="855">
        <v>2.1</v>
      </c>
      <c r="E34" s="848" t="b">
        <v>0</v>
      </c>
      <c r="F34" s="848" t="b">
        <v>0</v>
      </c>
      <c r="G34" s="848" t="b">
        <v>1</v>
      </c>
      <c r="H34" s="848" t="b">
        <v>0</v>
      </c>
      <c r="I34" s="848" t="b">
        <v>0</v>
      </c>
      <c r="J34" s="848" t="b">
        <v>0</v>
      </c>
      <c r="K34" s="848" t="b">
        <v>0</v>
      </c>
      <c r="L34" s="848" t="b">
        <v>0</v>
      </c>
      <c r="M34" s="848" t="b">
        <v>0</v>
      </c>
      <c r="N34" s="848" t="b">
        <v>0</v>
      </c>
      <c r="O34" s="848" t="b">
        <v>0</v>
      </c>
      <c r="P34" s="848" t="b">
        <v>0</v>
      </c>
      <c r="Q34" s="856" t="s">
        <v>1496</v>
      </c>
    </row>
    <row r="35" spans="1:17" ht="24" customHeight="1">
      <c r="A35" s="868" t="s">
        <v>1682</v>
      </c>
      <c r="B35" s="854" t="s">
        <v>292</v>
      </c>
      <c r="C35" s="855">
        <v>0.45624999999999999</v>
      </c>
      <c r="E35" s="848" t="b">
        <v>0</v>
      </c>
      <c r="F35" s="848" t="b">
        <v>0</v>
      </c>
      <c r="G35" s="848" t="b">
        <v>1</v>
      </c>
      <c r="H35" s="848" t="b">
        <v>0</v>
      </c>
      <c r="I35" s="848" t="b">
        <v>0</v>
      </c>
      <c r="J35" s="848" t="b">
        <v>0</v>
      </c>
      <c r="K35" s="848" t="b">
        <v>0</v>
      </c>
      <c r="L35" s="848" t="b">
        <v>0</v>
      </c>
      <c r="M35" s="848" t="b">
        <v>0</v>
      </c>
      <c r="N35" s="848" t="b">
        <v>0</v>
      </c>
      <c r="O35" s="848" t="b">
        <v>0</v>
      </c>
      <c r="P35" s="848" t="b">
        <v>0</v>
      </c>
      <c r="Q35" s="856" t="s">
        <v>1496</v>
      </c>
    </row>
    <row r="36" spans="1:17" ht="24" customHeight="1">
      <c r="A36" s="868" t="s">
        <v>1682</v>
      </c>
      <c r="B36" s="854" t="s">
        <v>293</v>
      </c>
      <c r="C36" s="855">
        <v>0.45624999999999999</v>
      </c>
      <c r="E36" s="848" t="b">
        <v>0</v>
      </c>
      <c r="F36" s="848" t="b">
        <v>0</v>
      </c>
      <c r="G36" s="848" t="b">
        <v>1</v>
      </c>
      <c r="H36" s="848" t="b">
        <v>0</v>
      </c>
      <c r="I36" s="848" t="b">
        <v>0</v>
      </c>
      <c r="J36" s="848" t="b">
        <v>0</v>
      </c>
      <c r="K36" s="848" t="b">
        <v>0</v>
      </c>
      <c r="L36" s="848" t="b">
        <v>0</v>
      </c>
      <c r="M36" s="848" t="b">
        <v>0</v>
      </c>
      <c r="N36" s="848" t="b">
        <v>0</v>
      </c>
      <c r="O36" s="848" t="b">
        <v>0</v>
      </c>
      <c r="P36" s="848" t="b">
        <v>0</v>
      </c>
      <c r="Q36" s="856" t="s">
        <v>1496</v>
      </c>
    </row>
    <row r="37" spans="1:17" ht="24" customHeight="1">
      <c r="A37" s="868" t="s">
        <v>1682</v>
      </c>
      <c r="B37" s="854" t="s">
        <v>294</v>
      </c>
      <c r="C37" s="855">
        <v>7.0559999999999998E-3</v>
      </c>
      <c r="E37" s="848" t="b">
        <v>0</v>
      </c>
      <c r="F37" s="848" t="b">
        <v>0</v>
      </c>
      <c r="G37" s="848" t="b">
        <v>1</v>
      </c>
      <c r="H37" s="848" t="b">
        <v>0</v>
      </c>
      <c r="I37" s="848" t="b">
        <v>0</v>
      </c>
      <c r="J37" s="848" t="b">
        <v>0</v>
      </c>
      <c r="K37" s="848" t="b">
        <v>0</v>
      </c>
      <c r="L37" s="848" t="b">
        <v>0</v>
      </c>
      <c r="M37" s="848" t="b">
        <v>0</v>
      </c>
      <c r="N37" s="848" t="b">
        <v>0</v>
      </c>
      <c r="O37" s="848" t="b">
        <v>0</v>
      </c>
      <c r="P37" s="848" t="b">
        <v>0</v>
      </c>
      <c r="Q37" s="856" t="s">
        <v>1496</v>
      </c>
    </row>
    <row r="38" spans="1:17" ht="24" customHeight="1">
      <c r="A38" s="868" t="s">
        <v>1682</v>
      </c>
      <c r="B38" s="854" t="s">
        <v>304</v>
      </c>
      <c r="C38" s="855">
        <v>40</v>
      </c>
      <c r="E38" s="848" t="b">
        <v>0</v>
      </c>
      <c r="F38" s="848" t="b">
        <v>0</v>
      </c>
      <c r="G38" s="848" t="b">
        <v>1</v>
      </c>
      <c r="H38" s="848" t="b">
        <v>0</v>
      </c>
      <c r="I38" s="848" t="b">
        <v>0</v>
      </c>
      <c r="J38" s="848" t="b">
        <v>0</v>
      </c>
      <c r="K38" s="848" t="b">
        <v>0</v>
      </c>
      <c r="L38" s="848" t="b">
        <v>0</v>
      </c>
      <c r="M38" s="848" t="b">
        <v>0</v>
      </c>
      <c r="N38" s="848" t="b">
        <v>0</v>
      </c>
      <c r="O38" s="848" t="b">
        <v>0</v>
      </c>
      <c r="P38" s="848" t="b">
        <v>0</v>
      </c>
      <c r="Q38" s="856" t="s">
        <v>1496</v>
      </c>
    </row>
    <row r="39" spans="1:17" ht="24" customHeight="1">
      <c r="A39" s="868" t="s">
        <v>1682</v>
      </c>
      <c r="B39" s="854" t="s">
        <v>305</v>
      </c>
      <c r="C39" s="855">
        <v>197</v>
      </c>
      <c r="E39" s="848" t="b">
        <v>0</v>
      </c>
      <c r="F39" s="848" t="b">
        <v>0</v>
      </c>
      <c r="G39" s="848" t="b">
        <v>1</v>
      </c>
      <c r="H39" s="848" t="b">
        <v>0</v>
      </c>
      <c r="I39" s="848" t="b">
        <v>0</v>
      </c>
      <c r="J39" s="848" t="b">
        <v>0</v>
      </c>
      <c r="K39" s="848" t="b">
        <v>0</v>
      </c>
      <c r="L39" s="848" t="b">
        <v>0</v>
      </c>
      <c r="M39" s="848" t="b">
        <v>0</v>
      </c>
      <c r="N39" s="848" t="b">
        <v>0</v>
      </c>
      <c r="O39" s="848" t="b">
        <v>0</v>
      </c>
      <c r="P39" s="848" t="b">
        <v>0</v>
      </c>
      <c r="Q39" s="856" t="s">
        <v>1496</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46"/>
  <sheetViews>
    <sheetView zoomScale="70" zoomScaleNormal="70" workbookViewId="0">
      <selection activeCell="Q58" sqref="Q58"/>
    </sheetView>
  </sheetViews>
  <sheetFormatPr defaultRowHeight="23.25" customHeight="1"/>
  <cols>
    <col min="1" max="1" width="34.75" style="867" customWidth="1"/>
    <col min="2" max="2" width="23.625" style="857" customWidth="1"/>
    <col min="3" max="3" width="29" style="858" customWidth="1"/>
    <col min="4" max="4" width="9" style="848"/>
    <col min="5" max="16" width="9" style="848" hidden="1" customWidth="1"/>
    <col min="17" max="16384" width="9" style="848"/>
  </cols>
  <sheetData>
    <row r="1" spans="1:17" ht="78" customHeight="1">
      <c r="A1" s="863" t="s">
        <v>316</v>
      </c>
      <c r="B1" s="846"/>
      <c r="C1" s="847"/>
    </row>
    <row r="2" spans="1:17" s="851" customFormat="1" ht="23.25" customHeight="1">
      <c r="A2" s="866" t="s">
        <v>317</v>
      </c>
      <c r="B2" s="849" t="s">
        <v>318</v>
      </c>
      <c r="C2" s="850" t="s">
        <v>329</v>
      </c>
      <c r="E2" s="852">
        <v>1</v>
      </c>
      <c r="F2" s="852" t="s">
        <v>828</v>
      </c>
      <c r="G2" s="852">
        <v>2</v>
      </c>
      <c r="H2" s="852" t="s">
        <v>828</v>
      </c>
      <c r="I2" s="852">
        <v>3</v>
      </c>
      <c r="J2" s="852" t="s">
        <v>828</v>
      </c>
      <c r="K2" s="852">
        <v>4</v>
      </c>
      <c r="L2" s="852" t="s">
        <v>828</v>
      </c>
      <c r="M2" s="852">
        <v>5</v>
      </c>
      <c r="N2" s="852" t="s">
        <v>828</v>
      </c>
      <c r="O2" s="852">
        <v>6</v>
      </c>
      <c r="P2" s="859" t="s">
        <v>828</v>
      </c>
      <c r="Q2" s="853">
        <v>3</v>
      </c>
    </row>
    <row r="3" spans="1:17" s="851" customFormat="1" ht="23.25" customHeight="1">
      <c r="A3" s="866" t="s">
        <v>341</v>
      </c>
      <c r="B3" s="849" t="s">
        <v>342</v>
      </c>
      <c r="C3" s="850" t="s">
        <v>350</v>
      </c>
      <c r="Q3" s="860"/>
    </row>
    <row r="4" spans="1:17" ht="23.25" customHeight="1">
      <c r="A4" s="865" t="s">
        <v>1683</v>
      </c>
      <c r="B4" s="854" t="s">
        <v>237</v>
      </c>
      <c r="C4" s="855">
        <v>32.799999999999997</v>
      </c>
      <c r="E4" s="848" t="b">
        <v>0</v>
      </c>
      <c r="F4" s="848" t="b">
        <v>0</v>
      </c>
      <c r="G4" s="848" t="b">
        <v>0</v>
      </c>
      <c r="H4" s="848" t="b">
        <v>0</v>
      </c>
      <c r="I4" s="848" t="b">
        <v>1</v>
      </c>
      <c r="J4" s="848" t="b">
        <v>0</v>
      </c>
      <c r="K4" s="848" t="b">
        <v>0</v>
      </c>
      <c r="L4" s="848" t="b">
        <v>0</v>
      </c>
      <c r="M4" s="848" t="b">
        <v>0</v>
      </c>
      <c r="N4" s="848" t="b">
        <v>0</v>
      </c>
      <c r="O4" s="848" t="b">
        <v>0</v>
      </c>
      <c r="P4" s="848" t="b">
        <v>0</v>
      </c>
      <c r="Q4" s="856" t="s">
        <v>1496</v>
      </c>
    </row>
    <row r="5" spans="1:17" ht="23.25" customHeight="1">
      <c r="A5" s="868" t="s">
        <v>1683</v>
      </c>
      <c r="B5" s="854" t="s">
        <v>238</v>
      </c>
      <c r="C5" s="855">
        <v>30.2</v>
      </c>
      <c r="E5" s="848" t="b">
        <v>0</v>
      </c>
      <c r="F5" s="848" t="b">
        <v>0</v>
      </c>
      <c r="G5" s="848" t="b">
        <v>0</v>
      </c>
      <c r="H5" s="848" t="b">
        <v>0</v>
      </c>
      <c r="I5" s="848" t="b">
        <v>1</v>
      </c>
      <c r="J5" s="848" t="b">
        <v>0</v>
      </c>
      <c r="K5" s="848" t="b">
        <v>0</v>
      </c>
      <c r="L5" s="848" t="b">
        <v>0</v>
      </c>
      <c r="M5" s="848" t="b">
        <v>0</v>
      </c>
      <c r="N5" s="848" t="b">
        <v>0</v>
      </c>
      <c r="O5" s="848" t="b">
        <v>0</v>
      </c>
      <c r="P5" s="848" t="b">
        <v>0</v>
      </c>
      <c r="Q5" s="856" t="s">
        <v>1496</v>
      </c>
    </row>
    <row r="6" spans="1:17" ht="23.25" customHeight="1">
      <c r="A6" s="868" t="s">
        <v>1683</v>
      </c>
      <c r="B6" s="854" t="s">
        <v>239</v>
      </c>
      <c r="C6" s="855">
        <v>78</v>
      </c>
      <c r="E6" s="848" t="b">
        <v>0</v>
      </c>
      <c r="F6" s="848" t="b">
        <v>0</v>
      </c>
      <c r="G6" s="848" t="b">
        <v>0</v>
      </c>
      <c r="H6" s="848" t="b">
        <v>0</v>
      </c>
      <c r="I6" s="848" t="b">
        <v>1</v>
      </c>
      <c r="J6" s="848" t="b">
        <v>0</v>
      </c>
      <c r="K6" s="848" t="b">
        <v>0</v>
      </c>
      <c r="L6" s="848" t="b">
        <v>0</v>
      </c>
      <c r="M6" s="848" t="b">
        <v>0</v>
      </c>
      <c r="N6" s="848" t="b">
        <v>0</v>
      </c>
      <c r="O6" s="848" t="b">
        <v>0</v>
      </c>
      <c r="P6" s="848" t="b">
        <v>0</v>
      </c>
      <c r="Q6" s="856" t="s">
        <v>1496</v>
      </c>
    </row>
    <row r="7" spans="1:17" ht="23.25" customHeight="1">
      <c r="A7" s="868" t="s">
        <v>1683</v>
      </c>
      <c r="B7" s="854" t="s">
        <v>240</v>
      </c>
      <c r="C7" s="855">
        <v>72.400000000000006</v>
      </c>
      <c r="E7" s="848" t="b">
        <v>0</v>
      </c>
      <c r="F7" s="848" t="b">
        <v>0</v>
      </c>
      <c r="G7" s="848" t="b">
        <v>0</v>
      </c>
      <c r="H7" s="848" t="b">
        <v>0</v>
      </c>
      <c r="I7" s="848" t="b">
        <v>1</v>
      </c>
      <c r="J7" s="848" t="b">
        <v>0</v>
      </c>
      <c r="K7" s="848" t="b">
        <v>0</v>
      </c>
      <c r="L7" s="848" t="b">
        <v>0</v>
      </c>
      <c r="M7" s="848" t="b">
        <v>0</v>
      </c>
      <c r="N7" s="848" t="b">
        <v>0</v>
      </c>
      <c r="O7" s="848" t="b">
        <v>0</v>
      </c>
      <c r="P7" s="848" t="b">
        <v>0</v>
      </c>
      <c r="Q7" s="856" t="s">
        <v>1496</v>
      </c>
    </row>
    <row r="8" spans="1:17" ht="23.25" customHeight="1">
      <c r="A8" s="868" t="s">
        <v>1683</v>
      </c>
      <c r="B8" s="854" t="s">
        <v>241</v>
      </c>
      <c r="C8" s="855">
        <v>140.80000000000001</v>
      </c>
      <c r="E8" s="848" t="b">
        <v>0</v>
      </c>
      <c r="F8" s="848" t="b">
        <v>0</v>
      </c>
      <c r="G8" s="848" t="b">
        <v>0</v>
      </c>
      <c r="H8" s="848" t="b">
        <v>0</v>
      </c>
      <c r="I8" s="848" t="b">
        <v>1</v>
      </c>
      <c r="J8" s="848" t="b">
        <v>0</v>
      </c>
      <c r="K8" s="848" t="b">
        <v>0</v>
      </c>
      <c r="L8" s="848" t="b">
        <v>0</v>
      </c>
      <c r="M8" s="848" t="b">
        <v>0</v>
      </c>
      <c r="N8" s="848" t="b">
        <v>0</v>
      </c>
      <c r="O8" s="848" t="b">
        <v>0</v>
      </c>
      <c r="P8" s="848" t="b">
        <v>0</v>
      </c>
      <c r="Q8" s="856" t="s">
        <v>1496</v>
      </c>
    </row>
    <row r="9" spans="1:17" ht="23.25" customHeight="1">
      <c r="A9" s="868" t="s">
        <v>1683</v>
      </c>
      <c r="B9" s="854" t="s">
        <v>242</v>
      </c>
      <c r="C9" s="855">
        <v>12.48</v>
      </c>
      <c r="E9" s="848" t="b">
        <v>0</v>
      </c>
      <c r="F9" s="848" t="b">
        <v>0</v>
      </c>
      <c r="G9" s="848" t="b">
        <v>0</v>
      </c>
      <c r="H9" s="848" t="b">
        <v>0</v>
      </c>
      <c r="I9" s="848" t="b">
        <v>1</v>
      </c>
      <c r="J9" s="848" t="b">
        <v>0</v>
      </c>
      <c r="K9" s="848" t="b">
        <v>0</v>
      </c>
      <c r="L9" s="848" t="b">
        <v>0</v>
      </c>
      <c r="M9" s="848" t="b">
        <v>0</v>
      </c>
      <c r="N9" s="848" t="b">
        <v>0</v>
      </c>
      <c r="O9" s="848" t="b">
        <v>0</v>
      </c>
      <c r="P9" s="848" t="b">
        <v>0</v>
      </c>
      <c r="Q9" s="856" t="s">
        <v>1496</v>
      </c>
    </row>
    <row r="10" spans="1:17" ht="23.25" customHeight="1">
      <c r="A10" s="868" t="s">
        <v>1683</v>
      </c>
      <c r="B10" s="854" t="s">
        <v>248</v>
      </c>
      <c r="C10" s="855">
        <v>15.827338129496402</v>
      </c>
      <c r="E10" s="848" t="b">
        <v>0</v>
      </c>
      <c r="F10" s="848" t="b">
        <v>0</v>
      </c>
      <c r="G10" s="848" t="b">
        <v>0</v>
      </c>
      <c r="H10" s="848" t="b">
        <v>0</v>
      </c>
      <c r="I10" s="848" t="b">
        <v>1</v>
      </c>
      <c r="J10" s="848" t="b">
        <v>0</v>
      </c>
      <c r="K10" s="848" t="b">
        <v>0</v>
      </c>
      <c r="L10" s="848" t="b">
        <v>0</v>
      </c>
      <c r="M10" s="848" t="b">
        <v>0</v>
      </c>
      <c r="N10" s="848" t="b">
        <v>0</v>
      </c>
      <c r="O10" s="848" t="b">
        <v>0</v>
      </c>
      <c r="P10" s="848" t="b">
        <v>0</v>
      </c>
      <c r="Q10" s="856" t="s">
        <v>1496</v>
      </c>
    </row>
    <row r="11" spans="1:17" ht="23.25" customHeight="1">
      <c r="A11" s="868" t="s">
        <v>1683</v>
      </c>
      <c r="B11" s="854" t="s">
        <v>250</v>
      </c>
      <c r="C11" s="855">
        <v>1.64</v>
      </c>
      <c r="E11" s="848" t="b">
        <v>0</v>
      </c>
      <c r="F11" s="848" t="b">
        <v>0</v>
      </c>
      <c r="G11" s="848" t="b">
        <v>0</v>
      </c>
      <c r="H11" s="848" t="b">
        <v>0</v>
      </c>
      <c r="I11" s="848" t="b">
        <v>1</v>
      </c>
      <c r="J11" s="848" t="b">
        <v>0</v>
      </c>
      <c r="K11" s="848" t="b">
        <v>0</v>
      </c>
      <c r="L11" s="848" t="b">
        <v>0</v>
      </c>
      <c r="M11" s="848" t="b">
        <v>0</v>
      </c>
      <c r="N11" s="848" t="b">
        <v>0</v>
      </c>
      <c r="O11" s="848" t="b">
        <v>0</v>
      </c>
      <c r="P11" s="848" t="b">
        <v>0</v>
      </c>
      <c r="Q11" s="856" t="s">
        <v>1496</v>
      </c>
    </row>
    <row r="12" spans="1:17" ht="23.25" customHeight="1">
      <c r="A12" s="868" t="s">
        <v>1683</v>
      </c>
      <c r="B12" s="854" t="s">
        <v>243</v>
      </c>
      <c r="C12" s="855">
        <v>0.47906250000000006</v>
      </c>
      <c r="E12" s="848" t="b">
        <v>0</v>
      </c>
      <c r="F12" s="848" t="b">
        <v>0</v>
      </c>
      <c r="G12" s="848" t="b">
        <v>0</v>
      </c>
      <c r="H12" s="848" t="b">
        <v>0</v>
      </c>
      <c r="I12" s="848" t="b">
        <v>1</v>
      </c>
      <c r="J12" s="848" t="b">
        <v>0</v>
      </c>
      <c r="K12" s="848" t="b">
        <v>0</v>
      </c>
      <c r="L12" s="848" t="b">
        <v>0</v>
      </c>
      <c r="M12" s="848" t="b">
        <v>0</v>
      </c>
      <c r="N12" s="848" t="b">
        <v>0</v>
      </c>
      <c r="O12" s="848" t="b">
        <v>0</v>
      </c>
      <c r="P12" s="848" t="b">
        <v>0</v>
      </c>
      <c r="Q12" s="856" t="s">
        <v>1496</v>
      </c>
    </row>
    <row r="13" spans="1:17" ht="23.25" customHeight="1">
      <c r="A13" s="868" t="s">
        <v>1683</v>
      </c>
      <c r="B13" s="854" t="s">
        <v>245</v>
      </c>
      <c r="C13" s="855">
        <v>0.18478124999999998</v>
      </c>
      <c r="E13" s="848" t="b">
        <v>0</v>
      </c>
      <c r="F13" s="848" t="b">
        <v>0</v>
      </c>
      <c r="G13" s="848" t="b">
        <v>0</v>
      </c>
      <c r="H13" s="848" t="b">
        <v>0</v>
      </c>
      <c r="I13" s="848" t="b">
        <v>1</v>
      </c>
      <c r="J13" s="848" t="b">
        <v>0</v>
      </c>
      <c r="K13" s="848" t="b">
        <v>0</v>
      </c>
      <c r="L13" s="848" t="b">
        <v>0</v>
      </c>
      <c r="M13" s="848" t="b">
        <v>0</v>
      </c>
      <c r="N13" s="848" t="b">
        <v>0</v>
      </c>
      <c r="O13" s="848" t="b">
        <v>0</v>
      </c>
      <c r="P13" s="848" t="b">
        <v>0</v>
      </c>
      <c r="Q13" s="856" t="s">
        <v>1496</v>
      </c>
    </row>
    <row r="14" spans="1:17" ht="23.25" customHeight="1">
      <c r="A14" s="868" t="s">
        <v>1683</v>
      </c>
      <c r="B14" s="854" t="s">
        <v>260</v>
      </c>
      <c r="C14" s="855">
        <v>72.363500000000002</v>
      </c>
      <c r="E14" s="848" t="b">
        <v>0</v>
      </c>
      <c r="F14" s="848" t="b">
        <v>0</v>
      </c>
      <c r="G14" s="848" t="b">
        <v>0</v>
      </c>
      <c r="H14" s="848" t="b">
        <v>0</v>
      </c>
      <c r="I14" s="848" t="b">
        <v>1</v>
      </c>
      <c r="J14" s="848" t="b">
        <v>0</v>
      </c>
      <c r="K14" s="848" t="b">
        <v>0</v>
      </c>
      <c r="L14" s="848" t="b">
        <v>0</v>
      </c>
      <c r="M14" s="848" t="b">
        <v>0</v>
      </c>
      <c r="N14" s="848" t="b">
        <v>0</v>
      </c>
      <c r="O14" s="848" t="b">
        <v>0</v>
      </c>
      <c r="P14" s="848" t="b">
        <v>0</v>
      </c>
      <c r="Q14" s="856" t="s">
        <v>1496</v>
      </c>
    </row>
    <row r="15" spans="1:17" ht="23.25" customHeight="1">
      <c r="A15" s="868" t="s">
        <v>1683</v>
      </c>
      <c r="B15" s="854" t="s">
        <v>261</v>
      </c>
      <c r="C15" s="855">
        <v>74.635000000000005</v>
      </c>
      <c r="E15" s="848" t="b">
        <v>0</v>
      </c>
      <c r="F15" s="848" t="b">
        <v>0</v>
      </c>
      <c r="G15" s="848" t="b">
        <v>0</v>
      </c>
      <c r="H15" s="848" t="b">
        <v>0</v>
      </c>
      <c r="I15" s="848" t="b">
        <v>1</v>
      </c>
      <c r="J15" s="848" t="b">
        <v>0</v>
      </c>
      <c r="K15" s="848" t="b">
        <v>0</v>
      </c>
      <c r="L15" s="848" t="b">
        <v>0</v>
      </c>
      <c r="M15" s="848" t="b">
        <v>0</v>
      </c>
      <c r="N15" s="848" t="b">
        <v>0</v>
      </c>
      <c r="O15" s="848" t="b">
        <v>0</v>
      </c>
      <c r="P15" s="848" t="b">
        <v>0</v>
      </c>
      <c r="Q15" s="856" t="s">
        <v>1496</v>
      </c>
    </row>
    <row r="16" spans="1:17" ht="23.25" customHeight="1">
      <c r="A16" s="868" t="s">
        <v>1683</v>
      </c>
      <c r="B16" s="854" t="s">
        <v>262</v>
      </c>
      <c r="C16" s="855">
        <v>61.446000000000005</v>
      </c>
      <c r="E16" s="848" t="b">
        <v>0</v>
      </c>
      <c r="F16" s="848" t="b">
        <v>0</v>
      </c>
      <c r="G16" s="848" t="b">
        <v>0</v>
      </c>
      <c r="H16" s="848" t="b">
        <v>0</v>
      </c>
      <c r="I16" s="848" t="b">
        <v>1</v>
      </c>
      <c r="J16" s="848" t="b">
        <v>0</v>
      </c>
      <c r="K16" s="848" t="b">
        <v>0</v>
      </c>
      <c r="L16" s="848" t="b">
        <v>0</v>
      </c>
      <c r="M16" s="848" t="b">
        <v>0</v>
      </c>
      <c r="N16" s="848" t="b">
        <v>0</v>
      </c>
      <c r="O16" s="848" t="b">
        <v>0</v>
      </c>
      <c r="P16" s="848" t="b">
        <v>0</v>
      </c>
      <c r="Q16" s="856" t="s">
        <v>1496</v>
      </c>
    </row>
    <row r="17" spans="1:17" ht="23.25" customHeight="1">
      <c r="A17" s="868" t="s">
        <v>1683</v>
      </c>
      <c r="B17" s="854" t="s">
        <v>263</v>
      </c>
      <c r="C17" s="855">
        <v>61.446000000000005</v>
      </c>
      <c r="E17" s="848" t="b">
        <v>0</v>
      </c>
      <c r="F17" s="848" t="b">
        <v>0</v>
      </c>
      <c r="G17" s="848" t="b">
        <v>0</v>
      </c>
      <c r="H17" s="848" t="b">
        <v>0</v>
      </c>
      <c r="I17" s="848" t="b">
        <v>1</v>
      </c>
      <c r="J17" s="848" t="b">
        <v>0</v>
      </c>
      <c r="K17" s="848" t="b">
        <v>0</v>
      </c>
      <c r="L17" s="848" t="b">
        <v>0</v>
      </c>
      <c r="M17" s="848" t="b">
        <v>0</v>
      </c>
      <c r="N17" s="848" t="b">
        <v>0</v>
      </c>
      <c r="O17" s="848" t="b">
        <v>0</v>
      </c>
      <c r="P17" s="848" t="b">
        <v>0</v>
      </c>
      <c r="Q17" s="856" t="s">
        <v>1496</v>
      </c>
    </row>
    <row r="18" spans="1:17" ht="23.25" customHeight="1">
      <c r="A18" s="868" t="s">
        <v>1683</v>
      </c>
      <c r="B18" s="854" t="s">
        <v>264</v>
      </c>
      <c r="C18" s="855">
        <v>143.19999999999999</v>
      </c>
      <c r="E18" s="848" t="b">
        <v>0</v>
      </c>
      <c r="F18" s="848" t="b">
        <v>0</v>
      </c>
      <c r="G18" s="848" t="b">
        <v>0</v>
      </c>
      <c r="H18" s="848" t="b">
        <v>0</v>
      </c>
      <c r="I18" s="848" t="b">
        <v>1</v>
      </c>
      <c r="J18" s="848" t="b">
        <v>0</v>
      </c>
      <c r="K18" s="848" t="b">
        <v>0</v>
      </c>
      <c r="L18" s="848" t="b">
        <v>0</v>
      </c>
      <c r="M18" s="848" t="b">
        <v>0</v>
      </c>
      <c r="N18" s="848" t="b">
        <v>0</v>
      </c>
      <c r="O18" s="848" t="b">
        <v>0</v>
      </c>
      <c r="P18" s="848" t="b">
        <v>0</v>
      </c>
      <c r="Q18" s="856" t="s">
        <v>1496</v>
      </c>
    </row>
    <row r="19" spans="1:17" ht="23.25" customHeight="1">
      <c r="A19" s="868" t="s">
        <v>1683</v>
      </c>
      <c r="B19" s="854" t="s">
        <v>265</v>
      </c>
      <c r="C19" s="855">
        <v>9.75</v>
      </c>
      <c r="E19" s="848" t="b">
        <v>0</v>
      </c>
      <c r="F19" s="848" t="b">
        <v>0</v>
      </c>
      <c r="G19" s="848" t="b">
        <v>0</v>
      </c>
      <c r="H19" s="848" t="b">
        <v>0</v>
      </c>
      <c r="I19" s="848" t="b">
        <v>1</v>
      </c>
      <c r="J19" s="848" t="b">
        <v>0</v>
      </c>
      <c r="K19" s="848" t="b">
        <v>0</v>
      </c>
      <c r="L19" s="848" t="b">
        <v>0</v>
      </c>
      <c r="M19" s="848" t="b">
        <v>0</v>
      </c>
      <c r="N19" s="848" t="b">
        <v>0</v>
      </c>
      <c r="O19" s="848" t="b">
        <v>0</v>
      </c>
      <c r="P19" s="848" t="b">
        <v>0</v>
      </c>
      <c r="Q19" s="856" t="s">
        <v>1496</v>
      </c>
    </row>
    <row r="20" spans="1:17" ht="23.25" customHeight="1">
      <c r="A20" s="868" t="s">
        <v>1683</v>
      </c>
      <c r="B20" s="854" t="s">
        <v>266</v>
      </c>
      <c r="C20" s="855">
        <v>7.2160500000000001</v>
      </c>
      <c r="E20" s="848" t="b">
        <v>0</v>
      </c>
      <c r="F20" s="848" t="b">
        <v>0</v>
      </c>
      <c r="G20" s="848" t="b">
        <v>0</v>
      </c>
      <c r="H20" s="848" t="b">
        <v>0</v>
      </c>
      <c r="I20" s="848" t="b">
        <v>1</v>
      </c>
      <c r="J20" s="848" t="b">
        <v>0</v>
      </c>
      <c r="K20" s="848" t="b">
        <v>0</v>
      </c>
      <c r="L20" s="848" t="b">
        <v>0</v>
      </c>
      <c r="M20" s="848" t="b">
        <v>0</v>
      </c>
      <c r="N20" s="848" t="b">
        <v>0</v>
      </c>
      <c r="O20" s="848" t="b">
        <v>0</v>
      </c>
      <c r="P20" s="848" t="b">
        <v>0</v>
      </c>
      <c r="Q20" s="856" t="s">
        <v>1496</v>
      </c>
    </row>
    <row r="21" spans="1:17" ht="23.25" customHeight="1">
      <c r="A21" s="868" t="s">
        <v>1683</v>
      </c>
      <c r="B21" s="854" t="s">
        <v>267</v>
      </c>
      <c r="C21" s="855">
        <v>2.35</v>
      </c>
      <c r="E21" s="848" t="b">
        <v>0</v>
      </c>
      <c r="F21" s="848" t="b">
        <v>0</v>
      </c>
      <c r="G21" s="848" t="b">
        <v>0</v>
      </c>
      <c r="H21" s="848" t="b">
        <v>0</v>
      </c>
      <c r="I21" s="848" t="b">
        <v>1</v>
      </c>
      <c r="J21" s="848" t="b">
        <v>0</v>
      </c>
      <c r="K21" s="848" t="b">
        <v>0</v>
      </c>
      <c r="L21" s="848" t="b">
        <v>0</v>
      </c>
      <c r="M21" s="848" t="b">
        <v>0</v>
      </c>
      <c r="N21" s="848" t="b">
        <v>0</v>
      </c>
      <c r="O21" s="848" t="b">
        <v>0</v>
      </c>
      <c r="P21" s="848" t="b">
        <v>0</v>
      </c>
      <c r="Q21" s="856" t="s">
        <v>1496</v>
      </c>
    </row>
    <row r="22" spans="1:17" ht="23.25" customHeight="1">
      <c r="A22" s="868" t="s">
        <v>1683</v>
      </c>
      <c r="B22" s="854" t="s">
        <v>268</v>
      </c>
      <c r="C22" s="855">
        <v>0.45624999999999999</v>
      </c>
      <c r="E22" s="848" t="b">
        <v>0</v>
      </c>
      <c r="F22" s="848" t="b">
        <v>0</v>
      </c>
      <c r="G22" s="848" t="b">
        <v>0</v>
      </c>
      <c r="H22" s="848" t="b">
        <v>0</v>
      </c>
      <c r="I22" s="848" t="b">
        <v>1</v>
      </c>
      <c r="J22" s="848" t="b">
        <v>0</v>
      </c>
      <c r="K22" s="848" t="b">
        <v>0</v>
      </c>
      <c r="L22" s="848" t="b">
        <v>0</v>
      </c>
      <c r="M22" s="848" t="b">
        <v>0</v>
      </c>
      <c r="N22" s="848" t="b">
        <v>0</v>
      </c>
      <c r="O22" s="848" t="b">
        <v>0</v>
      </c>
      <c r="P22" s="848" t="b">
        <v>0</v>
      </c>
      <c r="Q22" s="856" t="s">
        <v>1496</v>
      </c>
    </row>
    <row r="23" spans="1:17" ht="23.25" customHeight="1">
      <c r="A23" s="868" t="s">
        <v>1683</v>
      </c>
      <c r="B23" s="854" t="s">
        <v>270</v>
      </c>
      <c r="C23" s="855">
        <v>8.7828125000000007E-2</v>
      </c>
      <c r="E23" s="848" t="b">
        <v>0</v>
      </c>
      <c r="F23" s="848" t="b">
        <v>0</v>
      </c>
      <c r="G23" s="848" t="b">
        <v>0</v>
      </c>
      <c r="H23" s="848" t="b">
        <v>0</v>
      </c>
      <c r="I23" s="848" t="b">
        <v>1</v>
      </c>
      <c r="J23" s="848" t="b">
        <v>0</v>
      </c>
      <c r="K23" s="848" t="b">
        <v>0</v>
      </c>
      <c r="L23" s="848" t="b">
        <v>0</v>
      </c>
      <c r="M23" s="848" t="b">
        <v>0</v>
      </c>
      <c r="N23" s="848" t="b">
        <v>0</v>
      </c>
      <c r="O23" s="848" t="b">
        <v>0</v>
      </c>
      <c r="P23" s="848" t="b">
        <v>0</v>
      </c>
      <c r="Q23" s="856" t="s">
        <v>1496</v>
      </c>
    </row>
    <row r="24" spans="1:17" ht="23.25" customHeight="1">
      <c r="A24" s="868" t="s">
        <v>1683</v>
      </c>
      <c r="B24" s="854" t="s">
        <v>271</v>
      </c>
      <c r="C24" s="855">
        <v>1.1088000000000001E-2</v>
      </c>
      <c r="E24" s="848" t="b">
        <v>0</v>
      </c>
      <c r="F24" s="848" t="b">
        <v>0</v>
      </c>
      <c r="G24" s="848" t="b">
        <v>0</v>
      </c>
      <c r="H24" s="848" t="b">
        <v>0</v>
      </c>
      <c r="I24" s="848" t="b">
        <v>1</v>
      </c>
      <c r="J24" s="848" t="b">
        <v>0</v>
      </c>
      <c r="K24" s="848" t="b">
        <v>0</v>
      </c>
      <c r="L24" s="848" t="b">
        <v>0</v>
      </c>
      <c r="M24" s="848" t="b">
        <v>0</v>
      </c>
      <c r="N24" s="848" t="b">
        <v>0</v>
      </c>
      <c r="O24" s="848" t="b">
        <v>0</v>
      </c>
      <c r="P24" s="848" t="b">
        <v>0</v>
      </c>
      <c r="Q24" s="856" t="s">
        <v>1496</v>
      </c>
    </row>
    <row r="25" spans="1:17" ht="23.25" customHeight="1">
      <c r="A25" s="868" t="s">
        <v>1683</v>
      </c>
      <c r="B25" s="854" t="s">
        <v>281</v>
      </c>
      <c r="C25" s="855">
        <v>160</v>
      </c>
      <c r="E25" s="848" t="b">
        <v>0</v>
      </c>
      <c r="F25" s="848" t="b">
        <v>0</v>
      </c>
      <c r="G25" s="848" t="b">
        <v>0</v>
      </c>
      <c r="H25" s="848" t="b">
        <v>0</v>
      </c>
      <c r="I25" s="848" t="b">
        <v>1</v>
      </c>
      <c r="J25" s="848" t="b">
        <v>0</v>
      </c>
      <c r="K25" s="848" t="b">
        <v>0</v>
      </c>
      <c r="L25" s="848" t="b">
        <v>0</v>
      </c>
      <c r="M25" s="848" t="b">
        <v>0</v>
      </c>
      <c r="N25" s="848" t="b">
        <v>0</v>
      </c>
      <c r="O25" s="848" t="b">
        <v>0</v>
      </c>
      <c r="P25" s="848" t="b">
        <v>0</v>
      </c>
      <c r="Q25" s="856" t="s">
        <v>1496</v>
      </c>
    </row>
    <row r="26" spans="1:17" ht="23.25" customHeight="1">
      <c r="A26" s="868" t="s">
        <v>1683</v>
      </c>
      <c r="B26" s="854" t="s">
        <v>282</v>
      </c>
      <c r="C26" s="855">
        <v>24</v>
      </c>
      <c r="E26" s="848" t="b">
        <v>0</v>
      </c>
      <c r="F26" s="848" t="b">
        <v>0</v>
      </c>
      <c r="G26" s="848" t="b">
        <v>0</v>
      </c>
      <c r="H26" s="848" t="b">
        <v>0</v>
      </c>
      <c r="I26" s="848" t="b">
        <v>1</v>
      </c>
      <c r="J26" s="848" t="b">
        <v>0</v>
      </c>
      <c r="K26" s="848" t="b">
        <v>0</v>
      </c>
      <c r="L26" s="848" t="b">
        <v>0</v>
      </c>
      <c r="M26" s="848" t="b">
        <v>0</v>
      </c>
      <c r="N26" s="848" t="b">
        <v>0</v>
      </c>
      <c r="O26" s="848" t="b">
        <v>0</v>
      </c>
      <c r="P26" s="848" t="b">
        <v>0</v>
      </c>
      <c r="Q26" s="856" t="s">
        <v>1496</v>
      </c>
    </row>
    <row r="27" spans="1:17" ht="23.25" customHeight="1">
      <c r="A27" s="868" t="s">
        <v>1683</v>
      </c>
      <c r="B27" s="854" t="s">
        <v>283</v>
      </c>
      <c r="C27" s="855">
        <v>51.271000000000001</v>
      </c>
      <c r="E27" s="848" t="b">
        <v>0</v>
      </c>
      <c r="F27" s="848" t="b">
        <v>0</v>
      </c>
      <c r="G27" s="848" t="b">
        <v>0</v>
      </c>
      <c r="H27" s="848" t="b">
        <v>0</v>
      </c>
      <c r="I27" s="848" t="b">
        <v>1</v>
      </c>
      <c r="J27" s="848" t="b">
        <v>0</v>
      </c>
      <c r="K27" s="848" t="b">
        <v>0</v>
      </c>
      <c r="L27" s="848" t="b">
        <v>0</v>
      </c>
      <c r="M27" s="848" t="b">
        <v>0</v>
      </c>
      <c r="N27" s="848" t="b">
        <v>0</v>
      </c>
      <c r="O27" s="848" t="b">
        <v>0</v>
      </c>
      <c r="P27" s="848" t="b">
        <v>0</v>
      </c>
      <c r="Q27" s="856" t="s">
        <v>1496</v>
      </c>
    </row>
    <row r="28" spans="1:17" ht="23.25" customHeight="1">
      <c r="A28" s="868" t="s">
        <v>1683</v>
      </c>
      <c r="B28" s="854" t="s">
        <v>284</v>
      </c>
      <c r="C28" s="855">
        <v>50.297499999999999</v>
      </c>
      <c r="E28" s="848" t="b">
        <v>0</v>
      </c>
      <c r="F28" s="848" t="b">
        <v>0</v>
      </c>
      <c r="G28" s="848" t="b">
        <v>0</v>
      </c>
      <c r="H28" s="848" t="b">
        <v>0</v>
      </c>
      <c r="I28" s="848" t="b">
        <v>1</v>
      </c>
      <c r="J28" s="848" t="b">
        <v>0</v>
      </c>
      <c r="K28" s="848" t="b">
        <v>0</v>
      </c>
      <c r="L28" s="848" t="b">
        <v>0</v>
      </c>
      <c r="M28" s="848" t="b">
        <v>0</v>
      </c>
      <c r="N28" s="848" t="b">
        <v>0</v>
      </c>
      <c r="O28" s="848" t="b">
        <v>0</v>
      </c>
      <c r="P28" s="848" t="b">
        <v>0</v>
      </c>
      <c r="Q28" s="856" t="s">
        <v>1496</v>
      </c>
    </row>
    <row r="29" spans="1:17" ht="23.25" customHeight="1">
      <c r="A29" s="868" t="s">
        <v>1683</v>
      </c>
      <c r="B29" s="854" t="s">
        <v>285</v>
      </c>
      <c r="C29" s="855">
        <v>62.370000000000005</v>
      </c>
      <c r="E29" s="848" t="b">
        <v>0</v>
      </c>
      <c r="F29" s="848" t="b">
        <v>0</v>
      </c>
      <c r="G29" s="848" t="b">
        <v>0</v>
      </c>
      <c r="H29" s="848" t="b">
        <v>0</v>
      </c>
      <c r="I29" s="848" t="b">
        <v>1</v>
      </c>
      <c r="J29" s="848" t="b">
        <v>0</v>
      </c>
      <c r="K29" s="848" t="b">
        <v>0</v>
      </c>
      <c r="L29" s="848" t="b">
        <v>0</v>
      </c>
      <c r="M29" s="848" t="b">
        <v>0</v>
      </c>
      <c r="N29" s="848" t="b">
        <v>0</v>
      </c>
      <c r="O29" s="848" t="b">
        <v>0</v>
      </c>
      <c r="P29" s="848" t="b">
        <v>0</v>
      </c>
      <c r="Q29" s="856" t="s">
        <v>1496</v>
      </c>
    </row>
    <row r="30" spans="1:17" ht="23.25" customHeight="1">
      <c r="A30" s="868" t="s">
        <v>1683</v>
      </c>
      <c r="B30" s="854" t="s">
        <v>286</v>
      </c>
      <c r="C30" s="855">
        <v>61.215000000000003</v>
      </c>
      <c r="E30" s="848" t="b">
        <v>0</v>
      </c>
      <c r="F30" s="848" t="b">
        <v>0</v>
      </c>
      <c r="G30" s="848" t="b">
        <v>0</v>
      </c>
      <c r="H30" s="848" t="b">
        <v>0</v>
      </c>
      <c r="I30" s="848" t="b">
        <v>1</v>
      </c>
      <c r="J30" s="848" t="b">
        <v>0</v>
      </c>
      <c r="K30" s="848" t="b">
        <v>0</v>
      </c>
      <c r="L30" s="848" t="b">
        <v>0</v>
      </c>
      <c r="M30" s="848" t="b">
        <v>0</v>
      </c>
      <c r="N30" s="848" t="b">
        <v>0</v>
      </c>
      <c r="O30" s="848" t="b">
        <v>0</v>
      </c>
      <c r="P30" s="848" t="b">
        <v>0</v>
      </c>
      <c r="Q30" s="856" t="s">
        <v>1496</v>
      </c>
    </row>
    <row r="31" spans="1:17" ht="23.25" customHeight="1">
      <c r="A31" s="868" t="s">
        <v>1683</v>
      </c>
      <c r="B31" s="854" t="s">
        <v>287</v>
      </c>
      <c r="C31" s="855">
        <v>138.80000000000001</v>
      </c>
      <c r="E31" s="848" t="b">
        <v>0</v>
      </c>
      <c r="F31" s="848" t="b">
        <v>0</v>
      </c>
      <c r="G31" s="848" t="b">
        <v>0</v>
      </c>
      <c r="H31" s="848" t="b">
        <v>0</v>
      </c>
      <c r="I31" s="848" t="b">
        <v>1</v>
      </c>
      <c r="J31" s="848" t="b">
        <v>0</v>
      </c>
      <c r="K31" s="848" t="b">
        <v>0</v>
      </c>
      <c r="L31" s="848" t="b">
        <v>0</v>
      </c>
      <c r="M31" s="848" t="b">
        <v>0</v>
      </c>
      <c r="N31" s="848" t="b">
        <v>0</v>
      </c>
      <c r="O31" s="848" t="b">
        <v>0</v>
      </c>
      <c r="P31" s="848" t="b">
        <v>0</v>
      </c>
      <c r="Q31" s="856" t="s">
        <v>1496</v>
      </c>
    </row>
    <row r="32" spans="1:17" ht="23.25" customHeight="1">
      <c r="A32" s="868" t="s">
        <v>1683</v>
      </c>
      <c r="B32" s="854" t="s">
        <v>288</v>
      </c>
      <c r="C32" s="855">
        <v>8.4500000000000011</v>
      </c>
      <c r="E32" s="848" t="b">
        <v>0</v>
      </c>
      <c r="F32" s="848" t="b">
        <v>0</v>
      </c>
      <c r="G32" s="848" t="b">
        <v>0</v>
      </c>
      <c r="H32" s="848" t="b">
        <v>0</v>
      </c>
      <c r="I32" s="848" t="b">
        <v>1</v>
      </c>
      <c r="J32" s="848" t="b">
        <v>0</v>
      </c>
      <c r="K32" s="848" t="b">
        <v>0</v>
      </c>
      <c r="L32" s="848" t="b">
        <v>0</v>
      </c>
      <c r="M32" s="848" t="b">
        <v>0</v>
      </c>
      <c r="N32" s="848" t="b">
        <v>0</v>
      </c>
      <c r="O32" s="848" t="b">
        <v>0</v>
      </c>
      <c r="P32" s="848" t="b">
        <v>0</v>
      </c>
      <c r="Q32" s="856" t="s">
        <v>1496</v>
      </c>
    </row>
    <row r="33" spans="1:17" ht="23.25" customHeight="1">
      <c r="A33" s="868" t="s">
        <v>1683</v>
      </c>
      <c r="B33" s="854" t="s">
        <v>289</v>
      </c>
      <c r="C33" s="855">
        <v>6.6228700000000007</v>
      </c>
      <c r="E33" s="848" t="b">
        <v>0</v>
      </c>
      <c r="F33" s="848" t="b">
        <v>0</v>
      </c>
      <c r="G33" s="848" t="b">
        <v>0</v>
      </c>
      <c r="H33" s="848" t="b">
        <v>0</v>
      </c>
      <c r="I33" s="848" t="b">
        <v>1</v>
      </c>
      <c r="J33" s="848" t="b">
        <v>0</v>
      </c>
      <c r="K33" s="848" t="b">
        <v>0</v>
      </c>
      <c r="L33" s="848" t="b">
        <v>0</v>
      </c>
      <c r="M33" s="848" t="b">
        <v>0</v>
      </c>
      <c r="N33" s="848" t="b">
        <v>0</v>
      </c>
      <c r="O33" s="848" t="b">
        <v>0</v>
      </c>
      <c r="P33" s="848" t="b">
        <v>0</v>
      </c>
      <c r="Q33" s="856" t="s">
        <v>1496</v>
      </c>
    </row>
    <row r="34" spans="1:17" ht="23.25" customHeight="1">
      <c r="A34" s="868" t="s">
        <v>1683</v>
      </c>
      <c r="B34" s="854" t="s">
        <v>290</v>
      </c>
      <c r="C34" s="855">
        <v>2.14</v>
      </c>
      <c r="E34" s="848" t="b">
        <v>0</v>
      </c>
      <c r="F34" s="848" t="b">
        <v>0</v>
      </c>
      <c r="G34" s="848" t="b">
        <v>0</v>
      </c>
      <c r="H34" s="848" t="b">
        <v>0</v>
      </c>
      <c r="I34" s="848" t="b">
        <v>1</v>
      </c>
      <c r="J34" s="848" t="b">
        <v>0</v>
      </c>
      <c r="K34" s="848" t="b">
        <v>0</v>
      </c>
      <c r="L34" s="848" t="b">
        <v>0</v>
      </c>
      <c r="M34" s="848" t="b">
        <v>0</v>
      </c>
      <c r="N34" s="848" t="b">
        <v>0</v>
      </c>
      <c r="O34" s="848" t="b">
        <v>0</v>
      </c>
      <c r="P34" s="848" t="b">
        <v>0</v>
      </c>
      <c r="Q34" s="856" t="s">
        <v>1496</v>
      </c>
    </row>
    <row r="35" spans="1:17" ht="23.25" customHeight="1">
      <c r="A35" s="868" t="s">
        <v>1683</v>
      </c>
      <c r="B35" s="854" t="s">
        <v>292</v>
      </c>
      <c r="C35" s="855">
        <v>0.45624999999999999</v>
      </c>
      <c r="E35" s="848" t="b">
        <v>0</v>
      </c>
      <c r="F35" s="848" t="b">
        <v>0</v>
      </c>
      <c r="G35" s="848" t="b">
        <v>0</v>
      </c>
      <c r="H35" s="848" t="b">
        <v>0</v>
      </c>
      <c r="I35" s="848" t="b">
        <v>1</v>
      </c>
      <c r="J35" s="848" t="b">
        <v>0</v>
      </c>
      <c r="K35" s="848" t="b">
        <v>0</v>
      </c>
      <c r="L35" s="848" t="b">
        <v>0</v>
      </c>
      <c r="M35" s="848" t="b">
        <v>0</v>
      </c>
      <c r="N35" s="848" t="b">
        <v>0</v>
      </c>
      <c r="O35" s="848" t="b">
        <v>0</v>
      </c>
      <c r="P35" s="848" t="b">
        <v>0</v>
      </c>
      <c r="Q35" s="856" t="s">
        <v>1496</v>
      </c>
    </row>
    <row r="36" spans="1:17" ht="23.25" customHeight="1">
      <c r="A36" s="868" t="s">
        <v>1683</v>
      </c>
      <c r="B36" s="854" t="s">
        <v>293</v>
      </c>
      <c r="C36" s="855">
        <v>0.49274999999999997</v>
      </c>
      <c r="E36" s="848" t="b">
        <v>0</v>
      </c>
      <c r="F36" s="848" t="b">
        <v>0</v>
      </c>
      <c r="G36" s="848" t="b">
        <v>0</v>
      </c>
      <c r="H36" s="848" t="b">
        <v>0</v>
      </c>
      <c r="I36" s="848" t="b">
        <v>1</v>
      </c>
      <c r="J36" s="848" t="b">
        <v>0</v>
      </c>
      <c r="K36" s="848" t="b">
        <v>0</v>
      </c>
      <c r="L36" s="848" t="b">
        <v>0</v>
      </c>
      <c r="M36" s="848" t="b">
        <v>0</v>
      </c>
      <c r="N36" s="848" t="b">
        <v>0</v>
      </c>
      <c r="O36" s="848" t="b">
        <v>0</v>
      </c>
      <c r="P36" s="848" t="b">
        <v>0</v>
      </c>
      <c r="Q36" s="856" t="s">
        <v>1496</v>
      </c>
    </row>
    <row r="37" spans="1:17" ht="23.25" customHeight="1">
      <c r="A37" s="868" t="s">
        <v>1683</v>
      </c>
      <c r="B37" s="854" t="s">
        <v>294</v>
      </c>
      <c r="C37" s="855">
        <v>7.3080000000000003E-3</v>
      </c>
      <c r="E37" s="848" t="b">
        <v>0</v>
      </c>
      <c r="F37" s="848" t="b">
        <v>0</v>
      </c>
      <c r="G37" s="848" t="b">
        <v>0</v>
      </c>
      <c r="H37" s="848" t="b">
        <v>0</v>
      </c>
      <c r="I37" s="848" t="b">
        <v>1</v>
      </c>
      <c r="J37" s="848" t="b">
        <v>0</v>
      </c>
      <c r="K37" s="848" t="b">
        <v>0</v>
      </c>
      <c r="L37" s="848" t="b">
        <v>0</v>
      </c>
      <c r="M37" s="848" t="b">
        <v>0</v>
      </c>
      <c r="N37" s="848" t="b">
        <v>0</v>
      </c>
      <c r="O37" s="848" t="b">
        <v>0</v>
      </c>
      <c r="P37" s="848" t="b">
        <v>0</v>
      </c>
      <c r="Q37" s="856" t="s">
        <v>1496</v>
      </c>
    </row>
    <row r="38" spans="1:17" ht="23.25" customHeight="1">
      <c r="A38" s="868" t="s">
        <v>1683</v>
      </c>
      <c r="B38" s="854" t="s">
        <v>304</v>
      </c>
      <c r="C38" s="855">
        <v>42</v>
      </c>
      <c r="E38" s="848" t="b">
        <v>0</v>
      </c>
      <c r="F38" s="848" t="b">
        <v>0</v>
      </c>
      <c r="G38" s="848" t="b">
        <v>0</v>
      </c>
      <c r="H38" s="848" t="b">
        <v>0</v>
      </c>
      <c r="I38" s="848" t="b">
        <v>1</v>
      </c>
      <c r="J38" s="848" t="b">
        <v>0</v>
      </c>
      <c r="K38" s="848" t="b">
        <v>0</v>
      </c>
      <c r="L38" s="848" t="b">
        <v>0</v>
      </c>
      <c r="M38" s="848" t="b">
        <v>0</v>
      </c>
      <c r="N38" s="848" t="b">
        <v>0</v>
      </c>
      <c r="O38" s="848" t="b">
        <v>0</v>
      </c>
      <c r="P38" s="848" t="b">
        <v>0</v>
      </c>
      <c r="Q38" s="856" t="s">
        <v>1496</v>
      </c>
    </row>
    <row r="39" spans="1:17" ht="23.25" customHeight="1">
      <c r="A39" s="868" t="s">
        <v>1683</v>
      </c>
      <c r="B39" s="854" t="s">
        <v>305</v>
      </c>
      <c r="C39" s="855">
        <v>200</v>
      </c>
      <c r="E39" s="848" t="b">
        <v>0</v>
      </c>
      <c r="F39" s="848" t="b">
        <v>0</v>
      </c>
      <c r="G39" s="848" t="b">
        <v>0</v>
      </c>
      <c r="H39" s="848" t="b">
        <v>0</v>
      </c>
      <c r="I39" s="848" t="b">
        <v>1</v>
      </c>
      <c r="J39" s="848" t="b">
        <v>0</v>
      </c>
      <c r="K39" s="848" t="b">
        <v>0</v>
      </c>
      <c r="L39" s="848" t="b">
        <v>0</v>
      </c>
      <c r="M39" s="848" t="b">
        <v>0</v>
      </c>
      <c r="N39" s="848" t="b">
        <v>0</v>
      </c>
      <c r="O39" s="848" t="b">
        <v>0</v>
      </c>
      <c r="P39" s="848" t="b">
        <v>0</v>
      </c>
      <c r="Q39" s="856" t="s">
        <v>1496</v>
      </c>
    </row>
    <row r="40" spans="1:17" ht="23.25" customHeight="1">
      <c r="A40" s="868" t="s">
        <v>1683</v>
      </c>
      <c r="B40" s="854" t="s">
        <v>918</v>
      </c>
      <c r="C40" s="855">
        <v>40</v>
      </c>
      <c r="E40" s="848" t="b">
        <v>0</v>
      </c>
      <c r="F40" s="848" t="b">
        <v>0</v>
      </c>
      <c r="G40" s="848" t="b">
        <v>0</v>
      </c>
      <c r="H40" s="848" t="b">
        <v>0</v>
      </c>
      <c r="I40" s="848" t="b">
        <v>1</v>
      </c>
      <c r="J40" s="848" t="b">
        <v>0</v>
      </c>
      <c r="K40" s="848" t="b">
        <v>0</v>
      </c>
      <c r="L40" s="848" t="b">
        <v>0</v>
      </c>
      <c r="M40" s="848" t="b">
        <v>0</v>
      </c>
      <c r="N40" s="848" t="b">
        <v>0</v>
      </c>
      <c r="O40" s="848" t="b">
        <v>0</v>
      </c>
      <c r="P40" s="848" t="b">
        <v>0</v>
      </c>
      <c r="Q40" s="856" t="s">
        <v>1496</v>
      </c>
    </row>
    <row r="41" spans="1:17" ht="23.25" customHeight="1">
      <c r="A41" s="868" t="s">
        <v>1683</v>
      </c>
      <c r="B41" s="854" t="s">
        <v>919</v>
      </c>
      <c r="C41" s="855">
        <v>11.315000000000001</v>
      </c>
      <c r="E41" s="848" t="b">
        <v>0</v>
      </c>
      <c r="F41" s="848" t="b">
        <v>0</v>
      </c>
      <c r="G41" s="848" t="b">
        <v>0</v>
      </c>
      <c r="H41" s="848" t="b">
        <v>0</v>
      </c>
      <c r="I41" s="848" t="b">
        <v>1</v>
      </c>
      <c r="J41" s="848" t="b">
        <v>0</v>
      </c>
      <c r="K41" s="848" t="b">
        <v>0</v>
      </c>
      <c r="L41" s="848" t="b">
        <v>0</v>
      </c>
      <c r="M41" s="848" t="b">
        <v>0</v>
      </c>
      <c r="N41" s="848" t="b">
        <v>0</v>
      </c>
      <c r="O41" s="848" t="b">
        <v>0</v>
      </c>
      <c r="P41" s="848" t="b">
        <v>0</v>
      </c>
      <c r="Q41" s="856" t="s">
        <v>1496</v>
      </c>
    </row>
    <row r="42" spans="1:17" ht="23.25" customHeight="1">
      <c r="A42" s="868" t="s">
        <v>1683</v>
      </c>
      <c r="B42" s="854" t="s">
        <v>923</v>
      </c>
      <c r="C42" s="855">
        <v>50</v>
      </c>
      <c r="E42" s="848" t="b">
        <v>0</v>
      </c>
      <c r="F42" s="848" t="b">
        <v>0</v>
      </c>
      <c r="G42" s="848" t="b">
        <v>0</v>
      </c>
      <c r="H42" s="848" t="b">
        <v>0</v>
      </c>
      <c r="I42" s="848" t="b">
        <v>1</v>
      </c>
      <c r="J42" s="848" t="b">
        <v>0</v>
      </c>
      <c r="K42" s="848" t="b">
        <v>0</v>
      </c>
      <c r="L42" s="848" t="b">
        <v>0</v>
      </c>
      <c r="M42" s="848" t="b">
        <v>0</v>
      </c>
      <c r="N42" s="848" t="b">
        <v>0</v>
      </c>
      <c r="O42" s="848" t="b">
        <v>0</v>
      </c>
      <c r="P42" s="848" t="b">
        <v>0</v>
      </c>
      <c r="Q42" s="856" t="s">
        <v>1496</v>
      </c>
    </row>
    <row r="43" spans="1:17" ht="23.25" customHeight="1">
      <c r="A43" s="868" t="s">
        <v>1683</v>
      </c>
      <c r="B43" s="854" t="s">
        <v>925</v>
      </c>
      <c r="C43" s="855">
        <v>8.3333333333333339</v>
      </c>
      <c r="E43" s="848" t="b">
        <v>0</v>
      </c>
      <c r="F43" s="848" t="b">
        <v>0</v>
      </c>
      <c r="G43" s="848" t="b">
        <v>0</v>
      </c>
      <c r="H43" s="848" t="b">
        <v>0</v>
      </c>
      <c r="I43" s="848" t="b">
        <v>1</v>
      </c>
      <c r="J43" s="848" t="b">
        <v>0</v>
      </c>
      <c r="K43" s="848" t="b">
        <v>0</v>
      </c>
      <c r="L43" s="848" t="b">
        <v>0</v>
      </c>
      <c r="M43" s="848" t="b">
        <v>0</v>
      </c>
      <c r="N43" s="848" t="b">
        <v>0</v>
      </c>
      <c r="O43" s="848" t="b">
        <v>0</v>
      </c>
      <c r="P43" s="848" t="b">
        <v>0</v>
      </c>
      <c r="Q43" s="856" t="s">
        <v>1496</v>
      </c>
    </row>
    <row r="44" spans="1:17" ht="23.25" customHeight="1">
      <c r="A44" s="868" t="s">
        <v>1683</v>
      </c>
      <c r="B44" s="854" t="s">
        <v>926</v>
      </c>
      <c r="C44" s="855">
        <v>0.12</v>
      </c>
      <c r="E44" s="848" t="b">
        <v>0</v>
      </c>
      <c r="F44" s="848" t="b">
        <v>0</v>
      </c>
      <c r="G44" s="848" t="b">
        <v>0</v>
      </c>
      <c r="H44" s="848" t="b">
        <v>0</v>
      </c>
      <c r="I44" s="848" t="b">
        <v>1</v>
      </c>
      <c r="J44" s="848" t="b">
        <v>0</v>
      </c>
      <c r="K44" s="848" t="b">
        <v>0</v>
      </c>
      <c r="L44" s="848" t="b">
        <v>0</v>
      </c>
      <c r="M44" s="848" t="b">
        <v>0</v>
      </c>
      <c r="N44" s="848" t="b">
        <v>0</v>
      </c>
      <c r="O44" s="848" t="b">
        <v>0</v>
      </c>
      <c r="P44" s="848" t="b">
        <v>0</v>
      </c>
      <c r="Q44" s="856" t="s">
        <v>1496</v>
      </c>
    </row>
    <row r="45" spans="1:17" ht="23.25" customHeight="1">
      <c r="A45" s="868" t="s">
        <v>1683</v>
      </c>
      <c r="B45" s="854" t="s">
        <v>921</v>
      </c>
      <c r="C45" s="855">
        <v>0.9</v>
      </c>
      <c r="E45" s="848" t="b">
        <v>0</v>
      </c>
      <c r="F45" s="848" t="b">
        <v>0</v>
      </c>
      <c r="G45" s="848" t="b">
        <v>0</v>
      </c>
      <c r="H45" s="848" t="b">
        <v>0</v>
      </c>
      <c r="I45" s="848" t="b">
        <v>1</v>
      </c>
      <c r="J45" s="848" t="b">
        <v>0</v>
      </c>
      <c r="K45" s="848" t="b">
        <v>0</v>
      </c>
      <c r="L45" s="848" t="b">
        <v>0</v>
      </c>
      <c r="M45" s="848" t="b">
        <v>0</v>
      </c>
      <c r="N45" s="848" t="b">
        <v>0</v>
      </c>
      <c r="O45" s="848" t="b">
        <v>0</v>
      </c>
      <c r="P45" s="848" t="b">
        <v>0</v>
      </c>
      <c r="Q45" s="856" t="s">
        <v>1496</v>
      </c>
    </row>
    <row r="46" spans="1:17" ht="23.25" customHeight="1">
      <c r="A46" s="868" t="s">
        <v>1683</v>
      </c>
      <c r="B46" s="854" t="s">
        <v>922</v>
      </c>
      <c r="C46" s="855">
        <v>10</v>
      </c>
      <c r="E46" s="848" t="b">
        <v>0</v>
      </c>
      <c r="F46" s="848" t="b">
        <v>0</v>
      </c>
      <c r="G46" s="848" t="b">
        <v>0</v>
      </c>
      <c r="H46" s="848" t="b">
        <v>0</v>
      </c>
      <c r="I46" s="848" t="b">
        <v>1</v>
      </c>
      <c r="J46" s="848" t="b">
        <v>0</v>
      </c>
      <c r="K46" s="848" t="b">
        <v>0</v>
      </c>
      <c r="L46" s="848" t="b">
        <v>0</v>
      </c>
      <c r="M46" s="848" t="b">
        <v>0</v>
      </c>
      <c r="N46" s="848" t="b">
        <v>0</v>
      </c>
      <c r="O46" s="848" t="b">
        <v>0</v>
      </c>
      <c r="P46" s="848" t="b">
        <v>0</v>
      </c>
      <c r="Q46" s="856" t="s">
        <v>1496</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10"/>
  <sheetViews>
    <sheetView zoomScale="55" zoomScaleNormal="55" workbookViewId="0">
      <selection activeCell="A11" sqref="A11:XFD22"/>
    </sheetView>
  </sheetViews>
  <sheetFormatPr defaultRowHeight="23.25" customHeight="1"/>
  <cols>
    <col min="1" max="1" width="34.75" style="867" customWidth="1"/>
    <col min="2" max="2" width="23.625" style="857" customWidth="1"/>
    <col min="3" max="3" width="29" style="858" customWidth="1"/>
    <col min="4" max="4" width="9" style="848"/>
    <col min="5" max="16" width="9" style="848" hidden="1" customWidth="1"/>
    <col min="17" max="16384" width="9" style="848"/>
  </cols>
  <sheetData>
    <row r="1" spans="1:17" ht="78" customHeight="1">
      <c r="A1" s="863" t="s">
        <v>316</v>
      </c>
      <c r="B1" s="846"/>
      <c r="C1" s="847"/>
    </row>
    <row r="2" spans="1:17" s="851" customFormat="1" ht="23.25" customHeight="1">
      <c r="A2" s="866" t="s">
        <v>317</v>
      </c>
      <c r="B2" s="849" t="s">
        <v>318</v>
      </c>
      <c r="C2" s="850" t="s">
        <v>329</v>
      </c>
      <c r="E2" s="852">
        <v>1</v>
      </c>
      <c r="F2" s="852" t="s">
        <v>828</v>
      </c>
      <c r="G2" s="852">
        <v>2</v>
      </c>
      <c r="H2" s="852" t="s">
        <v>828</v>
      </c>
      <c r="I2" s="852">
        <v>3</v>
      </c>
      <c r="J2" s="852" t="s">
        <v>828</v>
      </c>
      <c r="K2" s="852">
        <v>4</v>
      </c>
      <c r="L2" s="852" t="s">
        <v>828</v>
      </c>
      <c r="M2" s="852">
        <v>5</v>
      </c>
      <c r="N2" s="852" t="s">
        <v>828</v>
      </c>
      <c r="O2" s="852">
        <v>6</v>
      </c>
      <c r="P2" s="859" t="s">
        <v>828</v>
      </c>
      <c r="Q2" s="853">
        <v>3</v>
      </c>
    </row>
    <row r="3" spans="1:17" s="851" customFormat="1" ht="23.25" customHeight="1">
      <c r="A3" s="866" t="s">
        <v>341</v>
      </c>
      <c r="B3" s="849" t="s">
        <v>342</v>
      </c>
      <c r="C3" s="850" t="s">
        <v>350</v>
      </c>
      <c r="Q3" s="860"/>
    </row>
    <row r="4" spans="1:17" ht="23.25" customHeight="1">
      <c r="A4" s="868" t="s">
        <v>1685</v>
      </c>
      <c r="B4" s="854" t="s">
        <v>918</v>
      </c>
      <c r="C4" s="855">
        <v>38</v>
      </c>
      <c r="E4" s="848" t="b">
        <v>0</v>
      </c>
      <c r="F4" s="848" t="b">
        <v>0</v>
      </c>
      <c r="G4" s="848" t="b">
        <v>0</v>
      </c>
      <c r="H4" s="848" t="b">
        <v>0</v>
      </c>
      <c r="I4" s="848" t="b">
        <v>1</v>
      </c>
      <c r="J4" s="848" t="b">
        <v>0</v>
      </c>
      <c r="K4" s="848" t="b">
        <v>0</v>
      </c>
      <c r="L4" s="848" t="b">
        <v>0</v>
      </c>
      <c r="M4" s="848" t="b">
        <v>0</v>
      </c>
      <c r="N4" s="848" t="b">
        <v>0</v>
      </c>
      <c r="O4" s="848" t="b">
        <v>0</v>
      </c>
      <c r="P4" s="848" t="b">
        <v>0</v>
      </c>
      <c r="Q4" s="856" t="s">
        <v>1496</v>
      </c>
    </row>
    <row r="5" spans="1:17" ht="23.25" customHeight="1">
      <c r="A5" s="868" t="s">
        <v>1685</v>
      </c>
      <c r="B5" s="854" t="s">
        <v>919</v>
      </c>
      <c r="C5" s="855">
        <v>9.8550000000000004</v>
      </c>
      <c r="E5" s="848" t="b">
        <v>0</v>
      </c>
      <c r="F5" s="848" t="b">
        <v>0</v>
      </c>
      <c r="G5" s="848" t="b">
        <v>0</v>
      </c>
      <c r="H5" s="848" t="b">
        <v>0</v>
      </c>
      <c r="I5" s="848" t="b">
        <v>1</v>
      </c>
      <c r="J5" s="848" t="b">
        <v>0</v>
      </c>
      <c r="K5" s="848" t="b">
        <v>0</v>
      </c>
      <c r="L5" s="848" t="b">
        <v>0</v>
      </c>
      <c r="M5" s="848" t="b">
        <v>0</v>
      </c>
      <c r="N5" s="848" t="b">
        <v>0</v>
      </c>
      <c r="O5" s="848" t="b">
        <v>0</v>
      </c>
      <c r="P5" s="848" t="b">
        <v>0</v>
      </c>
      <c r="Q5" s="856" t="s">
        <v>1496</v>
      </c>
    </row>
    <row r="6" spans="1:17" ht="23.25" customHeight="1">
      <c r="A6" s="868" t="s">
        <v>1685</v>
      </c>
      <c r="B6" s="854" t="s">
        <v>923</v>
      </c>
      <c r="C6" s="855">
        <v>43</v>
      </c>
      <c r="E6" s="848" t="b">
        <v>0</v>
      </c>
      <c r="F6" s="848" t="b">
        <v>0</v>
      </c>
      <c r="G6" s="848" t="b">
        <v>0</v>
      </c>
      <c r="H6" s="848" t="b">
        <v>0</v>
      </c>
      <c r="I6" s="848" t="b">
        <v>1</v>
      </c>
      <c r="J6" s="848" t="b">
        <v>0</v>
      </c>
      <c r="K6" s="848" t="b">
        <v>0</v>
      </c>
      <c r="L6" s="848" t="b">
        <v>0</v>
      </c>
      <c r="M6" s="848" t="b">
        <v>0</v>
      </c>
      <c r="N6" s="848" t="b">
        <v>0</v>
      </c>
      <c r="O6" s="848" t="b">
        <v>0</v>
      </c>
      <c r="P6" s="848" t="b">
        <v>0</v>
      </c>
      <c r="Q6" s="856" t="s">
        <v>1496</v>
      </c>
    </row>
    <row r="7" spans="1:17" ht="23.25" customHeight="1">
      <c r="A7" s="868" t="s">
        <v>1685</v>
      </c>
      <c r="B7" s="854" t="s">
        <v>925</v>
      </c>
      <c r="C7" s="855">
        <v>8.9583333333333339</v>
      </c>
      <c r="E7" s="848" t="b">
        <v>0</v>
      </c>
      <c r="F7" s="848" t="b">
        <v>0</v>
      </c>
      <c r="G7" s="848" t="b">
        <v>0</v>
      </c>
      <c r="H7" s="848" t="b">
        <v>0</v>
      </c>
      <c r="I7" s="848" t="b">
        <v>1</v>
      </c>
      <c r="J7" s="848" t="b">
        <v>0</v>
      </c>
      <c r="K7" s="848" t="b">
        <v>0</v>
      </c>
      <c r="L7" s="848" t="b">
        <v>0</v>
      </c>
      <c r="M7" s="848" t="b">
        <v>0</v>
      </c>
      <c r="N7" s="848" t="b">
        <v>0</v>
      </c>
      <c r="O7" s="848" t="b">
        <v>0</v>
      </c>
      <c r="P7" s="848" t="b">
        <v>0</v>
      </c>
      <c r="Q7" s="856" t="s">
        <v>1496</v>
      </c>
    </row>
    <row r="8" spans="1:17" ht="23.25" customHeight="1">
      <c r="A8" s="868" t="s">
        <v>1685</v>
      </c>
      <c r="B8" s="854" t="s">
        <v>926</v>
      </c>
      <c r="C8" s="855">
        <v>0.14000000000000001</v>
      </c>
      <c r="E8" s="848" t="b">
        <v>0</v>
      </c>
      <c r="F8" s="848" t="b">
        <v>0</v>
      </c>
      <c r="G8" s="848" t="b">
        <v>0</v>
      </c>
      <c r="H8" s="848" t="b">
        <v>0</v>
      </c>
      <c r="I8" s="848" t="b">
        <v>1</v>
      </c>
      <c r="J8" s="848" t="b">
        <v>0</v>
      </c>
      <c r="K8" s="848" t="b">
        <v>0</v>
      </c>
      <c r="L8" s="848" t="b">
        <v>0</v>
      </c>
      <c r="M8" s="848" t="b">
        <v>0</v>
      </c>
      <c r="N8" s="848" t="b">
        <v>0</v>
      </c>
      <c r="O8" s="848" t="b">
        <v>0</v>
      </c>
      <c r="P8" s="848" t="b">
        <v>0</v>
      </c>
      <c r="Q8" s="856" t="s">
        <v>1496</v>
      </c>
    </row>
    <row r="9" spans="1:17" ht="23.25" customHeight="1">
      <c r="A9" s="868" t="s">
        <v>1685</v>
      </c>
      <c r="B9" s="854" t="s">
        <v>921</v>
      </c>
      <c r="C9" s="855">
        <v>0.95</v>
      </c>
      <c r="E9" s="848" t="b">
        <v>0</v>
      </c>
      <c r="F9" s="848" t="b">
        <v>0</v>
      </c>
      <c r="G9" s="848" t="b">
        <v>0</v>
      </c>
      <c r="H9" s="848" t="b">
        <v>0</v>
      </c>
      <c r="I9" s="848" t="b">
        <v>1</v>
      </c>
      <c r="J9" s="848" t="b">
        <v>0</v>
      </c>
      <c r="K9" s="848" t="b">
        <v>0</v>
      </c>
      <c r="L9" s="848" t="b">
        <v>0</v>
      </c>
      <c r="M9" s="848" t="b">
        <v>0</v>
      </c>
      <c r="N9" s="848" t="b">
        <v>0</v>
      </c>
      <c r="O9" s="848" t="b">
        <v>0</v>
      </c>
      <c r="P9" s="848" t="b">
        <v>0</v>
      </c>
      <c r="Q9" s="856" t="s">
        <v>1496</v>
      </c>
    </row>
    <row r="10" spans="1:17" ht="23.25" customHeight="1">
      <c r="A10" s="868" t="s">
        <v>1685</v>
      </c>
      <c r="B10" s="854" t="s">
        <v>922</v>
      </c>
      <c r="C10" s="855">
        <v>9.5</v>
      </c>
      <c r="E10" s="848" t="b">
        <v>0</v>
      </c>
      <c r="F10" s="848" t="b">
        <v>0</v>
      </c>
      <c r="G10" s="848" t="b">
        <v>0</v>
      </c>
      <c r="H10" s="848" t="b">
        <v>0</v>
      </c>
      <c r="I10" s="848" t="b">
        <v>1</v>
      </c>
      <c r="J10" s="848" t="b">
        <v>0</v>
      </c>
      <c r="K10" s="848" t="b">
        <v>0</v>
      </c>
      <c r="L10" s="848" t="b">
        <v>0</v>
      </c>
      <c r="M10" s="848" t="b">
        <v>0</v>
      </c>
      <c r="N10" s="848" t="b">
        <v>0</v>
      </c>
      <c r="O10" s="848" t="b">
        <v>0</v>
      </c>
      <c r="P10" s="848" t="b">
        <v>0</v>
      </c>
      <c r="Q10" s="856" t="s">
        <v>1496</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5"/>
  <sheetViews>
    <sheetView topLeftCell="A4" zoomScale="70" zoomScaleNormal="70" workbookViewId="0"/>
  </sheetViews>
  <sheetFormatPr defaultRowHeight="21" customHeight="1"/>
  <cols>
    <col min="1" max="1" width="24.75" style="870" customWidth="1"/>
    <col min="2" max="2" width="26.875" style="311" customWidth="1"/>
    <col min="3" max="3" width="27.125" style="789" customWidth="1"/>
    <col min="4" max="4" width="9" style="308"/>
    <col min="5" max="16" width="9" style="308" hidden="1" customWidth="1"/>
    <col min="17" max="16384" width="9" style="308"/>
  </cols>
  <sheetData>
    <row r="1" spans="1:17" ht="50.25" customHeight="1">
      <c r="A1" s="843" t="s">
        <v>316</v>
      </c>
      <c r="B1" s="767"/>
      <c r="C1" s="785"/>
    </row>
    <row r="2" spans="1:17" s="313" customFormat="1" ht="21" customHeight="1">
      <c r="A2" s="869" t="s">
        <v>317</v>
      </c>
      <c r="B2" s="310" t="s">
        <v>318</v>
      </c>
      <c r="C2" s="786" t="s">
        <v>332</v>
      </c>
      <c r="E2" s="780">
        <v>1</v>
      </c>
      <c r="F2" s="780" t="s">
        <v>828</v>
      </c>
      <c r="G2" s="780">
        <v>2</v>
      </c>
      <c r="H2" s="780" t="s">
        <v>828</v>
      </c>
      <c r="I2" s="780">
        <v>3</v>
      </c>
      <c r="J2" s="780" t="s">
        <v>828</v>
      </c>
      <c r="K2" s="780">
        <v>4</v>
      </c>
      <c r="L2" s="780" t="s">
        <v>828</v>
      </c>
      <c r="M2" s="780">
        <v>5</v>
      </c>
      <c r="N2" s="780" t="s">
        <v>828</v>
      </c>
      <c r="O2" s="780">
        <v>6</v>
      </c>
      <c r="P2" s="780" t="s">
        <v>828</v>
      </c>
      <c r="Q2" s="797">
        <v>4</v>
      </c>
    </row>
    <row r="3" spans="1:17" s="313" customFormat="1" ht="21" customHeight="1">
      <c r="A3" s="869" t="s">
        <v>341</v>
      </c>
      <c r="B3" s="310" t="s">
        <v>342</v>
      </c>
      <c r="C3" s="786" t="s">
        <v>351</v>
      </c>
      <c r="Q3" s="845"/>
    </row>
    <row r="4" spans="1:17" s="315" customFormat="1" ht="21" customHeight="1">
      <c r="A4" s="865" t="s">
        <v>1687</v>
      </c>
      <c r="B4" s="314" t="s">
        <v>237</v>
      </c>
      <c r="C4" s="783">
        <v>33.6</v>
      </c>
      <c r="E4" s="315" t="b">
        <v>0</v>
      </c>
      <c r="F4" s="315" t="b">
        <v>0</v>
      </c>
      <c r="G4" s="315" t="b">
        <v>0</v>
      </c>
      <c r="H4" s="315" t="b">
        <v>0</v>
      </c>
      <c r="I4" s="315" t="b">
        <v>0</v>
      </c>
      <c r="J4" s="315" t="b">
        <v>0</v>
      </c>
      <c r="K4" s="315" t="b">
        <v>1</v>
      </c>
      <c r="L4" s="315" t="b">
        <v>0</v>
      </c>
      <c r="M4" s="315" t="b">
        <v>0</v>
      </c>
      <c r="N4" s="315" t="b">
        <v>0</v>
      </c>
      <c r="O4" s="315" t="b">
        <v>0</v>
      </c>
      <c r="P4" s="315" t="b">
        <v>0</v>
      </c>
      <c r="Q4" s="844" t="s">
        <v>1496</v>
      </c>
    </row>
    <row r="5" spans="1:17" s="315" customFormat="1" ht="21" customHeight="1">
      <c r="A5" s="868" t="s">
        <v>1687</v>
      </c>
      <c r="B5" s="314" t="s">
        <v>238</v>
      </c>
      <c r="C5" s="783">
        <v>31.2</v>
      </c>
      <c r="E5" s="315" t="b">
        <v>0</v>
      </c>
      <c r="F5" s="315" t="b">
        <v>0</v>
      </c>
      <c r="G5" s="315" t="b">
        <v>0</v>
      </c>
      <c r="H5" s="315" t="b">
        <v>0</v>
      </c>
      <c r="I5" s="315" t="b">
        <v>0</v>
      </c>
      <c r="J5" s="315" t="b">
        <v>0</v>
      </c>
      <c r="K5" s="315" t="b">
        <v>1</v>
      </c>
      <c r="L5" s="315" t="b">
        <v>0</v>
      </c>
      <c r="M5" s="315" t="b">
        <v>0</v>
      </c>
      <c r="N5" s="315" t="b">
        <v>0</v>
      </c>
      <c r="O5" s="315" t="b">
        <v>0</v>
      </c>
      <c r="P5" s="315" t="b">
        <v>0</v>
      </c>
      <c r="Q5" s="844" t="s">
        <v>1496</v>
      </c>
    </row>
    <row r="6" spans="1:17" s="315" customFormat="1" ht="21" customHeight="1">
      <c r="A6" s="868" t="s">
        <v>1687</v>
      </c>
      <c r="B6" s="314" t="s">
        <v>239</v>
      </c>
      <c r="C6" s="783">
        <v>75.2</v>
      </c>
      <c r="E6" s="315" t="b">
        <v>0</v>
      </c>
      <c r="F6" s="315" t="b">
        <v>0</v>
      </c>
      <c r="G6" s="315" t="b">
        <v>0</v>
      </c>
      <c r="H6" s="315" t="b">
        <v>0</v>
      </c>
      <c r="I6" s="315" t="b">
        <v>0</v>
      </c>
      <c r="J6" s="315" t="b">
        <v>0</v>
      </c>
      <c r="K6" s="315" t="b">
        <v>1</v>
      </c>
      <c r="L6" s="315" t="b">
        <v>0</v>
      </c>
      <c r="M6" s="315" t="b">
        <v>0</v>
      </c>
      <c r="N6" s="315" t="b">
        <v>0</v>
      </c>
      <c r="O6" s="315" t="b">
        <v>0</v>
      </c>
      <c r="P6" s="315" t="b">
        <v>0</v>
      </c>
      <c r="Q6" s="844" t="s">
        <v>1496</v>
      </c>
    </row>
    <row r="7" spans="1:17" s="315" customFormat="1" ht="21" customHeight="1">
      <c r="A7" s="868" t="s">
        <v>1687</v>
      </c>
      <c r="B7" s="314" t="s">
        <v>240</v>
      </c>
      <c r="C7" s="783">
        <v>69.2</v>
      </c>
      <c r="E7" s="315" t="b">
        <v>0</v>
      </c>
      <c r="F7" s="315" t="b">
        <v>0</v>
      </c>
      <c r="G7" s="315" t="b">
        <v>0</v>
      </c>
      <c r="H7" s="315" t="b">
        <v>0</v>
      </c>
      <c r="I7" s="315" t="b">
        <v>0</v>
      </c>
      <c r="J7" s="315" t="b">
        <v>0</v>
      </c>
      <c r="K7" s="315" t="b">
        <v>1</v>
      </c>
      <c r="L7" s="315" t="b">
        <v>0</v>
      </c>
      <c r="M7" s="315" t="b">
        <v>0</v>
      </c>
      <c r="N7" s="315" t="b">
        <v>0</v>
      </c>
      <c r="O7" s="315" t="b">
        <v>0</v>
      </c>
      <c r="P7" s="315" t="b">
        <v>0</v>
      </c>
      <c r="Q7" s="844" t="s">
        <v>1496</v>
      </c>
    </row>
    <row r="8" spans="1:17" s="315" customFormat="1" ht="21" customHeight="1">
      <c r="A8" s="868" t="s">
        <v>1687</v>
      </c>
      <c r="B8" s="314" t="s">
        <v>241</v>
      </c>
      <c r="C8" s="783">
        <v>143.19999999999999</v>
      </c>
      <c r="E8" s="315" t="b">
        <v>0</v>
      </c>
      <c r="F8" s="315" t="b">
        <v>0</v>
      </c>
      <c r="G8" s="315" t="b">
        <v>0</v>
      </c>
      <c r="H8" s="315" t="b">
        <v>0</v>
      </c>
      <c r="I8" s="315" t="b">
        <v>0</v>
      </c>
      <c r="J8" s="315" t="b">
        <v>0</v>
      </c>
      <c r="K8" s="315" t="b">
        <v>1</v>
      </c>
      <c r="L8" s="315" t="b">
        <v>0</v>
      </c>
      <c r="M8" s="315" t="b">
        <v>0</v>
      </c>
      <c r="N8" s="315" t="b">
        <v>0</v>
      </c>
      <c r="O8" s="315" t="b">
        <v>0</v>
      </c>
      <c r="P8" s="315" t="b">
        <v>0</v>
      </c>
      <c r="Q8" s="844" t="s">
        <v>1496</v>
      </c>
    </row>
    <row r="9" spans="1:17" s="315" customFormat="1" ht="21" customHeight="1">
      <c r="A9" s="868" t="s">
        <v>1687</v>
      </c>
      <c r="B9" s="314" t="s">
        <v>242</v>
      </c>
      <c r="C9" s="783">
        <v>11.440000000000001</v>
      </c>
      <c r="E9" s="315" t="b">
        <v>0</v>
      </c>
      <c r="F9" s="315" t="b">
        <v>0</v>
      </c>
      <c r="G9" s="315" t="b">
        <v>0</v>
      </c>
      <c r="H9" s="315" t="b">
        <v>0</v>
      </c>
      <c r="I9" s="315" t="b">
        <v>0</v>
      </c>
      <c r="J9" s="315" t="b">
        <v>0</v>
      </c>
      <c r="K9" s="315" t="b">
        <v>1</v>
      </c>
      <c r="L9" s="315" t="b">
        <v>0</v>
      </c>
      <c r="M9" s="315" t="b">
        <v>0</v>
      </c>
      <c r="N9" s="315" t="b">
        <v>0</v>
      </c>
      <c r="O9" s="315" t="b">
        <v>0</v>
      </c>
      <c r="P9" s="315" t="b">
        <v>0</v>
      </c>
      <c r="Q9" s="844" t="s">
        <v>1496</v>
      </c>
    </row>
    <row r="10" spans="1:17" s="315" customFormat="1" ht="21" customHeight="1">
      <c r="A10" s="868" t="s">
        <v>1687</v>
      </c>
      <c r="B10" s="314" t="s">
        <v>248</v>
      </c>
      <c r="C10" s="783">
        <v>18.129496402877699</v>
      </c>
      <c r="E10" s="315" t="b">
        <v>0</v>
      </c>
      <c r="F10" s="315" t="b">
        <v>0</v>
      </c>
      <c r="G10" s="315" t="b">
        <v>0</v>
      </c>
      <c r="H10" s="315" t="b">
        <v>0</v>
      </c>
      <c r="I10" s="315" t="b">
        <v>0</v>
      </c>
      <c r="J10" s="315" t="b">
        <v>0</v>
      </c>
      <c r="K10" s="315" t="b">
        <v>1</v>
      </c>
      <c r="L10" s="315" t="b">
        <v>0</v>
      </c>
      <c r="M10" s="315" t="b">
        <v>0</v>
      </c>
      <c r="N10" s="315" t="b">
        <v>0</v>
      </c>
      <c r="O10" s="315" t="b">
        <v>0</v>
      </c>
      <c r="P10" s="315" t="b">
        <v>0</v>
      </c>
      <c r="Q10" s="844" t="s">
        <v>1496</v>
      </c>
    </row>
    <row r="11" spans="1:17" s="315" customFormat="1" ht="21" customHeight="1">
      <c r="A11" s="868" t="s">
        <v>1687</v>
      </c>
      <c r="B11" s="314" t="s">
        <v>250</v>
      </c>
      <c r="C11" s="783">
        <v>1.8</v>
      </c>
      <c r="E11" s="315" t="b">
        <v>0</v>
      </c>
      <c r="F11" s="315" t="b">
        <v>0</v>
      </c>
      <c r="G11" s="315" t="b">
        <v>0</v>
      </c>
      <c r="H11" s="315" t="b">
        <v>0</v>
      </c>
      <c r="I11" s="315" t="b">
        <v>0</v>
      </c>
      <c r="J11" s="315" t="b">
        <v>0</v>
      </c>
      <c r="K11" s="315" t="b">
        <v>1</v>
      </c>
      <c r="L11" s="315" t="b">
        <v>0</v>
      </c>
      <c r="M11" s="315" t="b">
        <v>0</v>
      </c>
      <c r="N11" s="315" t="b">
        <v>0</v>
      </c>
      <c r="O11" s="315" t="b">
        <v>0</v>
      </c>
      <c r="P11" s="315" t="b">
        <v>0</v>
      </c>
      <c r="Q11" s="844" t="s">
        <v>1496</v>
      </c>
    </row>
    <row r="12" spans="1:17" s="315" customFormat="1" ht="21" customHeight="1">
      <c r="A12" s="868" t="s">
        <v>1687</v>
      </c>
      <c r="B12" s="314" t="s">
        <v>243</v>
      </c>
      <c r="C12" s="783">
        <v>0.49046874999999995</v>
      </c>
      <c r="E12" s="315" t="b">
        <v>0</v>
      </c>
      <c r="F12" s="315" t="b">
        <v>0</v>
      </c>
      <c r="G12" s="315" t="b">
        <v>0</v>
      </c>
      <c r="H12" s="315" t="b">
        <v>0</v>
      </c>
      <c r="I12" s="315" t="b">
        <v>0</v>
      </c>
      <c r="J12" s="315" t="b">
        <v>0</v>
      </c>
      <c r="K12" s="315" t="b">
        <v>1</v>
      </c>
      <c r="L12" s="315" t="b">
        <v>0</v>
      </c>
      <c r="M12" s="315" t="b">
        <v>0</v>
      </c>
      <c r="N12" s="315" t="b">
        <v>0</v>
      </c>
      <c r="O12" s="315" t="b">
        <v>0</v>
      </c>
      <c r="P12" s="315" t="b">
        <v>0</v>
      </c>
      <c r="Q12" s="844" t="s">
        <v>1496</v>
      </c>
    </row>
    <row r="13" spans="1:17" s="315" customFormat="1" ht="21" customHeight="1">
      <c r="A13" s="868" t="s">
        <v>1687</v>
      </c>
      <c r="B13" s="314" t="s">
        <v>245</v>
      </c>
      <c r="C13" s="783">
        <v>0.17109374999999999</v>
      </c>
      <c r="E13" s="315" t="b">
        <v>0</v>
      </c>
      <c r="F13" s="315" t="b">
        <v>0</v>
      </c>
      <c r="G13" s="315" t="b">
        <v>0</v>
      </c>
      <c r="H13" s="315" t="b">
        <v>0</v>
      </c>
      <c r="I13" s="315" t="b">
        <v>0</v>
      </c>
      <c r="J13" s="315" t="b">
        <v>0</v>
      </c>
      <c r="K13" s="315" t="b">
        <v>1</v>
      </c>
      <c r="L13" s="315" t="b">
        <v>0</v>
      </c>
      <c r="M13" s="315" t="b">
        <v>0</v>
      </c>
      <c r="N13" s="315" t="b">
        <v>0</v>
      </c>
      <c r="O13" s="315" t="b">
        <v>0</v>
      </c>
      <c r="P13" s="315" t="b">
        <v>0</v>
      </c>
      <c r="Q13" s="844" t="s">
        <v>1496</v>
      </c>
    </row>
    <row r="14" spans="1:17" s="315" customFormat="1" ht="21" customHeight="1">
      <c r="A14" s="868" t="s">
        <v>1687</v>
      </c>
      <c r="B14" s="314" t="s">
        <v>246</v>
      </c>
      <c r="C14" s="783">
        <v>8.1899999999999994E-3</v>
      </c>
      <c r="E14" s="315" t="b">
        <v>0</v>
      </c>
      <c r="F14" s="315" t="b">
        <v>0</v>
      </c>
      <c r="G14" s="315" t="b">
        <v>0</v>
      </c>
      <c r="H14" s="315" t="b">
        <v>0</v>
      </c>
      <c r="I14" s="315" t="b">
        <v>0</v>
      </c>
      <c r="J14" s="315" t="b">
        <v>0</v>
      </c>
      <c r="K14" s="315" t="b">
        <v>1</v>
      </c>
      <c r="L14" s="315" t="b">
        <v>0</v>
      </c>
      <c r="M14" s="315" t="b">
        <v>0</v>
      </c>
      <c r="N14" s="315" t="b">
        <v>0</v>
      </c>
      <c r="O14" s="315" t="b">
        <v>0</v>
      </c>
      <c r="P14" s="315" t="b">
        <v>0</v>
      </c>
      <c r="Q14" s="844" t="s">
        <v>1496</v>
      </c>
    </row>
    <row r="15" spans="1:17" s="315" customFormat="1" ht="21" customHeight="1">
      <c r="A15" s="868" t="s">
        <v>1687</v>
      </c>
      <c r="B15" s="314" t="s">
        <v>258</v>
      </c>
      <c r="C15" s="783">
        <v>460</v>
      </c>
      <c r="E15" s="315" t="b">
        <v>0</v>
      </c>
      <c r="F15" s="315" t="b">
        <v>0</v>
      </c>
      <c r="G15" s="315" t="b">
        <v>0</v>
      </c>
      <c r="H15" s="315" t="b">
        <v>0</v>
      </c>
      <c r="I15" s="315" t="b">
        <v>0</v>
      </c>
      <c r="J15" s="315" t="b">
        <v>0</v>
      </c>
      <c r="K15" s="315" t="b">
        <v>1</v>
      </c>
      <c r="L15" s="315" t="b">
        <v>0</v>
      </c>
      <c r="M15" s="315" t="b">
        <v>0</v>
      </c>
      <c r="N15" s="315" t="b">
        <v>0</v>
      </c>
      <c r="O15" s="315" t="b">
        <v>0</v>
      </c>
      <c r="P15" s="315" t="b">
        <v>0</v>
      </c>
      <c r="Q15" s="844" t="s">
        <v>1496</v>
      </c>
    </row>
    <row r="16" spans="1:17" s="315" customFormat="1" ht="21" customHeight="1">
      <c r="A16" s="868" t="s">
        <v>1687</v>
      </c>
      <c r="B16" s="314" t="s">
        <v>260</v>
      </c>
      <c r="C16" s="783">
        <v>65.549000000000007</v>
      </c>
      <c r="E16" s="315" t="b">
        <v>0</v>
      </c>
      <c r="F16" s="315" t="b">
        <v>0</v>
      </c>
      <c r="G16" s="315" t="b">
        <v>0</v>
      </c>
      <c r="H16" s="315" t="b">
        <v>0</v>
      </c>
      <c r="I16" s="315" t="b">
        <v>0</v>
      </c>
      <c r="J16" s="315" t="b">
        <v>0</v>
      </c>
      <c r="K16" s="315" t="b">
        <v>1</v>
      </c>
      <c r="L16" s="315" t="b">
        <v>0</v>
      </c>
      <c r="M16" s="315" t="b">
        <v>0</v>
      </c>
      <c r="N16" s="315" t="b">
        <v>0</v>
      </c>
      <c r="O16" s="315" t="b">
        <v>0</v>
      </c>
      <c r="P16" s="315" t="b">
        <v>0</v>
      </c>
      <c r="Q16" s="844" t="s">
        <v>1496</v>
      </c>
    </row>
    <row r="17" spans="1:17" s="315" customFormat="1" ht="21" customHeight="1">
      <c r="A17" s="868" t="s">
        <v>1687</v>
      </c>
      <c r="B17" s="314" t="s">
        <v>261</v>
      </c>
      <c r="C17" s="783">
        <v>73.986000000000004</v>
      </c>
      <c r="E17" s="315" t="b">
        <v>0</v>
      </c>
      <c r="F17" s="315" t="b">
        <v>0</v>
      </c>
      <c r="G17" s="315" t="b">
        <v>0</v>
      </c>
      <c r="H17" s="315" t="b">
        <v>0</v>
      </c>
      <c r="I17" s="315" t="b">
        <v>0</v>
      </c>
      <c r="J17" s="315" t="b">
        <v>0</v>
      </c>
      <c r="K17" s="315" t="b">
        <v>1</v>
      </c>
      <c r="L17" s="315" t="b">
        <v>0</v>
      </c>
      <c r="M17" s="315" t="b">
        <v>0</v>
      </c>
      <c r="N17" s="315" t="b">
        <v>0</v>
      </c>
      <c r="O17" s="315" t="b">
        <v>0</v>
      </c>
      <c r="P17" s="315" t="b">
        <v>0</v>
      </c>
      <c r="Q17" s="844" t="s">
        <v>1496</v>
      </c>
    </row>
    <row r="18" spans="1:17" s="315" customFormat="1" ht="21" customHeight="1">
      <c r="A18" s="868" t="s">
        <v>1687</v>
      </c>
      <c r="B18" s="314" t="s">
        <v>262</v>
      </c>
      <c r="C18" s="783">
        <v>62.370000000000005</v>
      </c>
      <c r="E18" s="315" t="b">
        <v>0</v>
      </c>
      <c r="F18" s="315" t="b">
        <v>0</v>
      </c>
      <c r="G18" s="315" t="b">
        <v>0</v>
      </c>
      <c r="H18" s="315" t="b">
        <v>0</v>
      </c>
      <c r="I18" s="315" t="b">
        <v>0</v>
      </c>
      <c r="J18" s="315" t="b">
        <v>0</v>
      </c>
      <c r="K18" s="315" t="b">
        <v>1</v>
      </c>
      <c r="L18" s="315" t="b">
        <v>0</v>
      </c>
      <c r="M18" s="315" t="b">
        <v>0</v>
      </c>
      <c r="N18" s="315" t="b">
        <v>0</v>
      </c>
      <c r="O18" s="315" t="b">
        <v>0</v>
      </c>
      <c r="P18" s="315" t="b">
        <v>0</v>
      </c>
      <c r="Q18" s="844" t="s">
        <v>1496</v>
      </c>
    </row>
    <row r="19" spans="1:17" s="315" customFormat="1" ht="21" customHeight="1">
      <c r="A19" s="868" t="s">
        <v>1687</v>
      </c>
      <c r="B19" s="314" t="s">
        <v>263</v>
      </c>
      <c r="C19" s="783">
        <v>57.75</v>
      </c>
      <c r="E19" s="315" t="b">
        <v>0</v>
      </c>
      <c r="F19" s="315" t="b">
        <v>0</v>
      </c>
      <c r="G19" s="315" t="b">
        <v>0</v>
      </c>
      <c r="H19" s="315" t="b">
        <v>0</v>
      </c>
      <c r="I19" s="315" t="b">
        <v>0</v>
      </c>
      <c r="J19" s="315" t="b">
        <v>0</v>
      </c>
      <c r="K19" s="315" t="b">
        <v>1</v>
      </c>
      <c r="L19" s="315" t="b">
        <v>0</v>
      </c>
      <c r="M19" s="315" t="b">
        <v>0</v>
      </c>
      <c r="N19" s="315" t="b">
        <v>0</v>
      </c>
      <c r="O19" s="315" t="b">
        <v>0</v>
      </c>
      <c r="P19" s="315" t="b">
        <v>0</v>
      </c>
      <c r="Q19" s="844" t="s">
        <v>1496</v>
      </c>
    </row>
    <row r="20" spans="1:17" s="315" customFormat="1" ht="21" customHeight="1">
      <c r="A20" s="868" t="s">
        <v>1687</v>
      </c>
      <c r="B20" s="314" t="s">
        <v>264</v>
      </c>
      <c r="C20" s="783">
        <v>143.19999999999999</v>
      </c>
      <c r="E20" s="315" t="b">
        <v>0</v>
      </c>
      <c r="F20" s="315" t="b">
        <v>0</v>
      </c>
      <c r="G20" s="315" t="b">
        <v>0</v>
      </c>
      <c r="H20" s="315" t="b">
        <v>0</v>
      </c>
      <c r="I20" s="315" t="b">
        <v>0</v>
      </c>
      <c r="J20" s="315" t="b">
        <v>0</v>
      </c>
      <c r="K20" s="315" t="b">
        <v>1</v>
      </c>
      <c r="L20" s="315" t="b">
        <v>0</v>
      </c>
      <c r="M20" s="315" t="b">
        <v>0</v>
      </c>
      <c r="N20" s="315" t="b">
        <v>0</v>
      </c>
      <c r="O20" s="315" t="b">
        <v>0</v>
      </c>
      <c r="P20" s="315" t="b">
        <v>0</v>
      </c>
      <c r="Q20" s="844" t="s">
        <v>1496</v>
      </c>
    </row>
    <row r="21" spans="1:17" s="315" customFormat="1" ht="21" customHeight="1">
      <c r="A21" s="868" t="s">
        <v>1687</v>
      </c>
      <c r="B21" s="314" t="s">
        <v>265</v>
      </c>
      <c r="C21" s="783">
        <v>9.879999999999999</v>
      </c>
      <c r="E21" s="315" t="b">
        <v>0</v>
      </c>
      <c r="F21" s="315" t="b">
        <v>0</v>
      </c>
      <c r="G21" s="315" t="b">
        <v>0</v>
      </c>
      <c r="H21" s="315" t="b">
        <v>0</v>
      </c>
      <c r="I21" s="315" t="b">
        <v>0</v>
      </c>
      <c r="J21" s="315" t="b">
        <v>0</v>
      </c>
      <c r="K21" s="315" t="b">
        <v>1</v>
      </c>
      <c r="L21" s="315" t="b">
        <v>0</v>
      </c>
      <c r="M21" s="315" t="b">
        <v>0</v>
      </c>
      <c r="N21" s="315" t="b">
        <v>0</v>
      </c>
      <c r="O21" s="315" t="b">
        <v>0</v>
      </c>
      <c r="P21" s="315" t="b">
        <v>0</v>
      </c>
      <c r="Q21" s="844" t="s">
        <v>1496</v>
      </c>
    </row>
    <row r="22" spans="1:17" s="315" customFormat="1" ht="21" customHeight="1">
      <c r="A22" s="868" t="s">
        <v>1687</v>
      </c>
      <c r="B22" s="314" t="s">
        <v>266</v>
      </c>
      <c r="C22" s="783">
        <v>7.1736800000000001</v>
      </c>
      <c r="E22" s="315" t="b">
        <v>0</v>
      </c>
      <c r="F22" s="315" t="b">
        <v>0</v>
      </c>
      <c r="G22" s="315" t="b">
        <v>0</v>
      </c>
      <c r="H22" s="315" t="b">
        <v>0</v>
      </c>
      <c r="I22" s="315" t="b">
        <v>0</v>
      </c>
      <c r="J22" s="315" t="b">
        <v>0</v>
      </c>
      <c r="K22" s="315" t="b">
        <v>1</v>
      </c>
      <c r="L22" s="315" t="b">
        <v>0</v>
      </c>
      <c r="M22" s="315" t="b">
        <v>0</v>
      </c>
      <c r="N22" s="315" t="b">
        <v>0</v>
      </c>
      <c r="O22" s="315" t="b">
        <v>0</v>
      </c>
      <c r="P22" s="315" t="b">
        <v>0</v>
      </c>
      <c r="Q22" s="844" t="s">
        <v>1496</v>
      </c>
    </row>
    <row r="23" spans="1:17" s="315" customFormat="1" ht="21" customHeight="1">
      <c r="A23" s="868" t="s">
        <v>1687</v>
      </c>
      <c r="B23" s="314" t="s">
        <v>267</v>
      </c>
      <c r="C23" s="783">
        <v>2.4</v>
      </c>
      <c r="E23" s="315" t="b">
        <v>0</v>
      </c>
      <c r="F23" s="315" t="b">
        <v>0</v>
      </c>
      <c r="G23" s="315" t="b">
        <v>0</v>
      </c>
      <c r="H23" s="315" t="b">
        <v>0</v>
      </c>
      <c r="I23" s="315" t="b">
        <v>0</v>
      </c>
      <c r="J23" s="315" t="b">
        <v>0</v>
      </c>
      <c r="K23" s="315" t="b">
        <v>1</v>
      </c>
      <c r="L23" s="315" t="b">
        <v>0</v>
      </c>
      <c r="M23" s="315" t="b">
        <v>0</v>
      </c>
      <c r="N23" s="315" t="b">
        <v>0</v>
      </c>
      <c r="O23" s="315" t="b">
        <v>0</v>
      </c>
      <c r="P23" s="315" t="b">
        <v>0</v>
      </c>
      <c r="Q23" s="844" t="s">
        <v>1496</v>
      </c>
    </row>
    <row r="24" spans="1:17" s="315" customFormat="1" ht="21" customHeight="1">
      <c r="A24" s="868" t="s">
        <v>1687</v>
      </c>
      <c r="B24" s="314" t="s">
        <v>268</v>
      </c>
      <c r="C24" s="783">
        <v>0.45624999999999999</v>
      </c>
      <c r="E24" s="315" t="b">
        <v>0</v>
      </c>
      <c r="F24" s="315" t="b">
        <v>0</v>
      </c>
      <c r="G24" s="315" t="b">
        <v>0</v>
      </c>
      <c r="H24" s="315" t="b">
        <v>0</v>
      </c>
      <c r="I24" s="315" t="b">
        <v>0</v>
      </c>
      <c r="J24" s="315" t="b">
        <v>0</v>
      </c>
      <c r="K24" s="315" t="b">
        <v>1</v>
      </c>
      <c r="L24" s="315" t="b">
        <v>0</v>
      </c>
      <c r="M24" s="315" t="b">
        <v>0</v>
      </c>
      <c r="N24" s="315" t="b">
        <v>0</v>
      </c>
      <c r="O24" s="315" t="b">
        <v>0</v>
      </c>
      <c r="P24" s="315" t="b">
        <v>0</v>
      </c>
      <c r="Q24" s="844" t="s">
        <v>1496</v>
      </c>
    </row>
    <row r="25" spans="1:17" s="315" customFormat="1" ht="21" customHeight="1">
      <c r="A25" s="868" t="s">
        <v>1687</v>
      </c>
      <c r="B25" s="314" t="s">
        <v>270</v>
      </c>
      <c r="C25" s="783">
        <v>6.8437499999999998E-2</v>
      </c>
      <c r="E25" s="315" t="b">
        <v>0</v>
      </c>
      <c r="F25" s="315" t="b">
        <v>0</v>
      </c>
      <c r="G25" s="315" t="b">
        <v>0</v>
      </c>
      <c r="H25" s="315" t="b">
        <v>0</v>
      </c>
      <c r="I25" s="315" t="b">
        <v>0</v>
      </c>
      <c r="J25" s="315" t="b">
        <v>0</v>
      </c>
      <c r="K25" s="315" t="b">
        <v>1</v>
      </c>
      <c r="L25" s="315" t="b">
        <v>0</v>
      </c>
      <c r="M25" s="315" t="b">
        <v>0</v>
      </c>
      <c r="N25" s="315" t="b">
        <v>0</v>
      </c>
      <c r="O25" s="315" t="b">
        <v>0</v>
      </c>
      <c r="P25" s="315" t="b">
        <v>0</v>
      </c>
      <c r="Q25" s="844" t="s">
        <v>1496</v>
      </c>
    </row>
    <row r="26" spans="1:17" s="315" customFormat="1" ht="21" customHeight="1">
      <c r="A26" s="868" t="s">
        <v>1687</v>
      </c>
      <c r="B26" s="314" t="s">
        <v>271</v>
      </c>
      <c r="C26" s="783">
        <v>1.0709999999999999E-2</v>
      </c>
      <c r="E26" s="315" t="b">
        <v>0</v>
      </c>
      <c r="F26" s="315" t="b">
        <v>0</v>
      </c>
      <c r="G26" s="315" t="b">
        <v>0</v>
      </c>
      <c r="H26" s="315" t="b">
        <v>0</v>
      </c>
      <c r="I26" s="315" t="b">
        <v>0</v>
      </c>
      <c r="J26" s="315" t="b">
        <v>0</v>
      </c>
      <c r="K26" s="315" t="b">
        <v>1</v>
      </c>
      <c r="L26" s="315" t="b">
        <v>0</v>
      </c>
      <c r="M26" s="315" t="b">
        <v>0</v>
      </c>
      <c r="N26" s="315" t="b">
        <v>0</v>
      </c>
      <c r="O26" s="315" t="b">
        <v>0</v>
      </c>
      <c r="P26" s="315" t="b">
        <v>0</v>
      </c>
      <c r="Q26" s="844" t="s">
        <v>1496</v>
      </c>
    </row>
    <row r="27" spans="1:17" s="315" customFormat="1" ht="21" customHeight="1">
      <c r="A27" s="868" t="s">
        <v>1687</v>
      </c>
      <c r="B27" s="314" t="s">
        <v>281</v>
      </c>
      <c r="C27" s="783">
        <v>160</v>
      </c>
      <c r="E27" s="315" t="b">
        <v>0</v>
      </c>
      <c r="F27" s="315" t="b">
        <v>0</v>
      </c>
      <c r="G27" s="315" t="b">
        <v>0</v>
      </c>
      <c r="H27" s="315" t="b">
        <v>0</v>
      </c>
      <c r="I27" s="315" t="b">
        <v>0</v>
      </c>
      <c r="J27" s="315" t="b">
        <v>0</v>
      </c>
      <c r="K27" s="315" t="b">
        <v>1</v>
      </c>
      <c r="L27" s="315" t="b">
        <v>0</v>
      </c>
      <c r="M27" s="315" t="b">
        <v>0</v>
      </c>
      <c r="N27" s="315" t="b">
        <v>0</v>
      </c>
      <c r="O27" s="315" t="b">
        <v>0</v>
      </c>
      <c r="P27" s="315" t="b">
        <v>0</v>
      </c>
      <c r="Q27" s="844" t="s">
        <v>1496</v>
      </c>
    </row>
    <row r="28" spans="1:17" s="315" customFormat="1" ht="21" customHeight="1">
      <c r="A28" s="868" t="s">
        <v>1687</v>
      </c>
      <c r="B28" s="314" t="s">
        <v>282</v>
      </c>
      <c r="C28" s="783">
        <v>24</v>
      </c>
      <c r="E28" s="315" t="b">
        <v>0</v>
      </c>
      <c r="F28" s="315" t="b">
        <v>0</v>
      </c>
      <c r="G28" s="315" t="b">
        <v>0</v>
      </c>
      <c r="H28" s="315" t="b">
        <v>0</v>
      </c>
      <c r="I28" s="315" t="b">
        <v>0</v>
      </c>
      <c r="J28" s="315" t="b">
        <v>0</v>
      </c>
      <c r="K28" s="315" t="b">
        <v>1</v>
      </c>
      <c r="L28" s="315" t="b">
        <v>0</v>
      </c>
      <c r="M28" s="315" t="b">
        <v>0</v>
      </c>
      <c r="N28" s="315" t="b">
        <v>0</v>
      </c>
      <c r="O28" s="315" t="b">
        <v>0</v>
      </c>
      <c r="P28" s="315" t="b">
        <v>0</v>
      </c>
      <c r="Q28" s="844" t="s">
        <v>1496</v>
      </c>
    </row>
    <row r="29" spans="1:17" ht="21" customHeight="1">
      <c r="A29" s="868" t="s">
        <v>1687</v>
      </c>
      <c r="B29" s="314" t="s">
        <v>918</v>
      </c>
      <c r="C29" s="783">
        <v>40</v>
      </c>
      <c r="E29" s="315" t="b">
        <v>0</v>
      </c>
      <c r="F29" s="315" t="b">
        <v>0</v>
      </c>
      <c r="G29" s="315" t="b">
        <v>0</v>
      </c>
      <c r="H29" s="315" t="b">
        <v>0</v>
      </c>
      <c r="I29" s="315" t="b">
        <v>0</v>
      </c>
      <c r="J29" s="315" t="b">
        <v>0</v>
      </c>
      <c r="K29" s="315" t="b">
        <v>1</v>
      </c>
      <c r="L29" s="315" t="b">
        <v>0</v>
      </c>
      <c r="M29" s="315" t="b">
        <v>0</v>
      </c>
      <c r="N29" s="315" t="b">
        <v>0</v>
      </c>
      <c r="O29" s="315" t="b">
        <v>0</v>
      </c>
      <c r="P29" s="315" t="b">
        <v>0</v>
      </c>
      <c r="Q29" s="844" t="s">
        <v>1496</v>
      </c>
    </row>
    <row r="30" spans="1:17" ht="21" customHeight="1">
      <c r="A30" s="868" t="s">
        <v>1687</v>
      </c>
      <c r="B30" s="314" t="s">
        <v>919</v>
      </c>
      <c r="C30" s="783">
        <v>10.584999999999999</v>
      </c>
      <c r="E30" s="315" t="b">
        <v>0</v>
      </c>
      <c r="F30" s="315" t="b">
        <v>0</v>
      </c>
      <c r="G30" s="315" t="b">
        <v>0</v>
      </c>
      <c r="H30" s="315" t="b">
        <v>0</v>
      </c>
      <c r="I30" s="315" t="b">
        <v>0</v>
      </c>
      <c r="J30" s="315" t="b">
        <v>0</v>
      </c>
      <c r="K30" s="315" t="b">
        <v>1</v>
      </c>
      <c r="L30" s="315" t="b">
        <v>0</v>
      </c>
      <c r="M30" s="315" t="b">
        <v>0</v>
      </c>
      <c r="N30" s="315" t="b">
        <v>0</v>
      </c>
      <c r="O30" s="315" t="b">
        <v>0</v>
      </c>
      <c r="P30" s="315" t="b">
        <v>0</v>
      </c>
      <c r="Q30" s="844" t="s">
        <v>1496</v>
      </c>
    </row>
    <row r="31" spans="1:17" ht="21" customHeight="1">
      <c r="A31" s="868" t="s">
        <v>1687</v>
      </c>
      <c r="B31" s="314" t="s">
        <v>923</v>
      </c>
      <c r="C31" s="783">
        <v>48</v>
      </c>
      <c r="E31" s="315" t="b">
        <v>0</v>
      </c>
      <c r="F31" s="315" t="b">
        <v>0</v>
      </c>
      <c r="G31" s="315" t="b">
        <v>0</v>
      </c>
      <c r="H31" s="315" t="b">
        <v>0</v>
      </c>
      <c r="I31" s="315" t="b">
        <v>0</v>
      </c>
      <c r="J31" s="315" t="b">
        <v>0</v>
      </c>
      <c r="K31" s="315" t="b">
        <v>1</v>
      </c>
      <c r="L31" s="315" t="b">
        <v>0</v>
      </c>
      <c r="M31" s="315" t="b">
        <v>0</v>
      </c>
      <c r="N31" s="315" t="b">
        <v>0</v>
      </c>
      <c r="O31" s="315" t="b">
        <v>0</v>
      </c>
      <c r="P31" s="315" t="b">
        <v>0</v>
      </c>
      <c r="Q31" s="844" t="s">
        <v>1496</v>
      </c>
    </row>
    <row r="32" spans="1:17" ht="21" customHeight="1">
      <c r="A32" s="868" t="s">
        <v>1687</v>
      </c>
      <c r="B32" s="314" t="s">
        <v>925</v>
      </c>
      <c r="C32" s="783">
        <v>10.212765957446807</v>
      </c>
      <c r="E32" s="315" t="b">
        <v>0</v>
      </c>
      <c r="F32" s="315" t="b">
        <v>0</v>
      </c>
      <c r="G32" s="315" t="b">
        <v>0</v>
      </c>
      <c r="H32" s="315" t="b">
        <v>0</v>
      </c>
      <c r="I32" s="315" t="b">
        <v>0</v>
      </c>
      <c r="J32" s="315" t="b">
        <v>0</v>
      </c>
      <c r="K32" s="315" t="b">
        <v>1</v>
      </c>
      <c r="L32" s="315" t="b">
        <v>0</v>
      </c>
      <c r="M32" s="315" t="b">
        <v>0</v>
      </c>
      <c r="N32" s="315" t="b">
        <v>0</v>
      </c>
      <c r="O32" s="315" t="b">
        <v>0</v>
      </c>
      <c r="P32" s="315" t="b">
        <v>0</v>
      </c>
      <c r="Q32" s="844" t="s">
        <v>1496</v>
      </c>
    </row>
    <row r="33" spans="1:17" ht="21" customHeight="1">
      <c r="A33" s="868" t="s">
        <v>1687</v>
      </c>
      <c r="B33" s="314" t="s">
        <v>926</v>
      </c>
      <c r="C33" s="783">
        <v>0.14000000000000001</v>
      </c>
      <c r="E33" s="315" t="b">
        <v>0</v>
      </c>
      <c r="F33" s="315" t="b">
        <v>0</v>
      </c>
      <c r="G33" s="315" t="b">
        <v>0</v>
      </c>
      <c r="H33" s="315" t="b">
        <v>0</v>
      </c>
      <c r="I33" s="315" t="b">
        <v>0</v>
      </c>
      <c r="J33" s="315" t="b">
        <v>0</v>
      </c>
      <c r="K33" s="315" t="b">
        <v>1</v>
      </c>
      <c r="L33" s="315" t="b">
        <v>0</v>
      </c>
      <c r="M33" s="315" t="b">
        <v>0</v>
      </c>
      <c r="N33" s="315" t="b">
        <v>0</v>
      </c>
      <c r="O33" s="315" t="b">
        <v>0</v>
      </c>
      <c r="P33" s="315" t="b">
        <v>0</v>
      </c>
      <c r="Q33" s="844" t="s">
        <v>1496</v>
      </c>
    </row>
    <row r="34" spans="1:17" ht="21" customHeight="1">
      <c r="A34" s="868" t="s">
        <v>1687</v>
      </c>
      <c r="B34" s="314" t="s">
        <v>921</v>
      </c>
      <c r="C34" s="783">
        <v>0.95</v>
      </c>
      <c r="E34" s="315" t="b">
        <v>0</v>
      </c>
      <c r="F34" s="315" t="b">
        <v>0</v>
      </c>
      <c r="G34" s="315" t="b">
        <v>0</v>
      </c>
      <c r="H34" s="315" t="b">
        <v>0</v>
      </c>
      <c r="I34" s="315" t="b">
        <v>0</v>
      </c>
      <c r="J34" s="315" t="b">
        <v>0</v>
      </c>
      <c r="K34" s="315" t="b">
        <v>1</v>
      </c>
      <c r="L34" s="315" t="b">
        <v>0</v>
      </c>
      <c r="M34" s="315" t="b">
        <v>0</v>
      </c>
      <c r="N34" s="315" t="b">
        <v>0</v>
      </c>
      <c r="O34" s="315" t="b">
        <v>0</v>
      </c>
      <c r="P34" s="315" t="b">
        <v>0</v>
      </c>
      <c r="Q34" s="844" t="s">
        <v>1496</v>
      </c>
    </row>
    <row r="35" spans="1:17" ht="21" customHeight="1">
      <c r="A35" s="868" t="s">
        <v>1687</v>
      </c>
      <c r="B35" s="314" t="s">
        <v>922</v>
      </c>
      <c r="C35" s="783">
        <v>10</v>
      </c>
      <c r="E35" s="315" t="b">
        <v>0</v>
      </c>
      <c r="F35" s="315" t="b">
        <v>0</v>
      </c>
      <c r="G35" s="315" t="b">
        <v>0</v>
      </c>
      <c r="H35" s="315" t="b">
        <v>0</v>
      </c>
      <c r="I35" s="315" t="b">
        <v>0</v>
      </c>
      <c r="J35" s="315" t="b">
        <v>0</v>
      </c>
      <c r="K35" s="315" t="b">
        <v>1</v>
      </c>
      <c r="L35" s="315" t="b">
        <v>0</v>
      </c>
      <c r="M35" s="315" t="b">
        <v>0</v>
      </c>
      <c r="N35" s="315" t="b">
        <v>0</v>
      </c>
      <c r="O35" s="315" t="b">
        <v>0</v>
      </c>
      <c r="P35" s="315" t="b">
        <v>0</v>
      </c>
      <c r="Q35" s="844" t="s">
        <v>1496</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28"/>
  <sheetViews>
    <sheetView zoomScale="55" zoomScaleNormal="55" workbookViewId="0">
      <selection activeCell="Y18" sqref="Y18"/>
    </sheetView>
  </sheetViews>
  <sheetFormatPr defaultRowHeight="27" customHeight="1"/>
  <cols>
    <col min="1" max="1" width="27.5" style="867" customWidth="1"/>
    <col min="2" max="2" width="21.625" style="857" customWidth="1"/>
    <col min="3" max="3" width="25.125" style="858" customWidth="1"/>
    <col min="4" max="4" width="9" style="848"/>
    <col min="5" max="16" width="9" style="848" hidden="1" customWidth="1"/>
    <col min="17" max="16384" width="9" style="848"/>
  </cols>
  <sheetData>
    <row r="1" spans="1:17" ht="57" customHeight="1">
      <c r="A1" s="863" t="s">
        <v>316</v>
      </c>
      <c r="B1" s="846"/>
      <c r="C1" s="847"/>
    </row>
    <row r="2" spans="1:17" s="851" customFormat="1" ht="27" customHeight="1">
      <c r="A2" s="866" t="s">
        <v>317</v>
      </c>
      <c r="B2" s="849" t="s">
        <v>318</v>
      </c>
      <c r="C2" s="850" t="s">
        <v>335</v>
      </c>
      <c r="E2" s="852">
        <v>1</v>
      </c>
      <c r="F2" s="852" t="s">
        <v>828</v>
      </c>
      <c r="G2" s="852">
        <v>2</v>
      </c>
      <c r="H2" s="852" t="s">
        <v>828</v>
      </c>
      <c r="I2" s="852">
        <v>3</v>
      </c>
      <c r="J2" s="852" t="s">
        <v>828</v>
      </c>
      <c r="K2" s="852">
        <v>4</v>
      </c>
      <c r="L2" s="852" t="s">
        <v>828</v>
      </c>
      <c r="M2" s="852">
        <v>5</v>
      </c>
      <c r="N2" s="852" t="s">
        <v>828</v>
      </c>
      <c r="O2" s="852">
        <v>6</v>
      </c>
      <c r="P2" s="852" t="s">
        <v>828</v>
      </c>
      <c r="Q2" s="853">
        <v>5</v>
      </c>
    </row>
    <row r="3" spans="1:17" s="851" customFormat="1" ht="27" customHeight="1">
      <c r="A3" s="866" t="s">
        <v>341</v>
      </c>
      <c r="B3" s="849" t="s">
        <v>342</v>
      </c>
      <c r="C3" s="850" t="s">
        <v>352</v>
      </c>
      <c r="Q3" s="860"/>
    </row>
    <row r="4" spans="1:17" ht="27" customHeight="1">
      <c r="A4" s="865" t="s">
        <v>1691</v>
      </c>
      <c r="B4" s="854" t="s">
        <v>237</v>
      </c>
      <c r="C4" s="855">
        <v>32</v>
      </c>
      <c r="E4" s="848" t="b">
        <v>0</v>
      </c>
      <c r="F4" s="848" t="b">
        <v>0</v>
      </c>
      <c r="G4" s="848" t="b">
        <v>0</v>
      </c>
      <c r="H4" s="848" t="b">
        <v>0</v>
      </c>
      <c r="I4" s="848" t="b">
        <v>0</v>
      </c>
      <c r="J4" s="848" t="b">
        <v>0</v>
      </c>
      <c r="K4" s="848" t="b">
        <v>0</v>
      </c>
      <c r="L4" s="848" t="b">
        <v>0</v>
      </c>
      <c r="M4" s="848" t="b">
        <v>1</v>
      </c>
      <c r="N4" s="848" t="b">
        <v>0</v>
      </c>
      <c r="O4" s="848" t="b">
        <v>0</v>
      </c>
      <c r="P4" s="848" t="b">
        <v>0</v>
      </c>
      <c r="Q4" s="856" t="s">
        <v>1496</v>
      </c>
    </row>
    <row r="5" spans="1:17" ht="27" customHeight="1">
      <c r="A5" s="868" t="s">
        <v>1691</v>
      </c>
      <c r="B5" s="854" t="s">
        <v>238</v>
      </c>
      <c r="C5" s="855">
        <v>32</v>
      </c>
      <c r="E5" s="848" t="b">
        <v>0</v>
      </c>
      <c r="F5" s="848" t="b">
        <v>0</v>
      </c>
      <c r="G5" s="848" t="b">
        <v>0</v>
      </c>
      <c r="H5" s="848" t="b">
        <v>0</v>
      </c>
      <c r="I5" s="848" t="b">
        <v>0</v>
      </c>
      <c r="J5" s="848" t="b">
        <v>0</v>
      </c>
      <c r="K5" s="848" t="b">
        <v>0</v>
      </c>
      <c r="L5" s="848" t="b">
        <v>0</v>
      </c>
      <c r="M5" s="848" t="b">
        <v>1</v>
      </c>
      <c r="N5" s="848" t="b">
        <v>0</v>
      </c>
      <c r="O5" s="848" t="b">
        <v>0</v>
      </c>
      <c r="P5" s="848" t="b">
        <v>0</v>
      </c>
      <c r="Q5" s="856" t="s">
        <v>1496</v>
      </c>
    </row>
    <row r="6" spans="1:17" ht="27" customHeight="1">
      <c r="A6" s="868" t="s">
        <v>1691</v>
      </c>
      <c r="B6" s="854" t="s">
        <v>239</v>
      </c>
      <c r="C6" s="855">
        <v>79.2</v>
      </c>
      <c r="E6" s="848" t="b">
        <v>0</v>
      </c>
      <c r="F6" s="848" t="b">
        <v>0</v>
      </c>
      <c r="G6" s="848" t="b">
        <v>0</v>
      </c>
      <c r="H6" s="848" t="b">
        <v>0</v>
      </c>
      <c r="I6" s="848" t="b">
        <v>0</v>
      </c>
      <c r="J6" s="848" t="b">
        <v>0</v>
      </c>
      <c r="K6" s="848" t="b">
        <v>0</v>
      </c>
      <c r="L6" s="848" t="b">
        <v>0</v>
      </c>
      <c r="M6" s="848" t="b">
        <v>1</v>
      </c>
      <c r="N6" s="848" t="b">
        <v>0</v>
      </c>
      <c r="O6" s="848" t="b">
        <v>0</v>
      </c>
      <c r="P6" s="848" t="b">
        <v>0</v>
      </c>
      <c r="Q6" s="856" t="s">
        <v>1496</v>
      </c>
    </row>
    <row r="7" spans="1:17" ht="27" customHeight="1">
      <c r="A7" s="868" t="s">
        <v>1691</v>
      </c>
      <c r="B7" s="854" t="s">
        <v>240</v>
      </c>
      <c r="C7" s="855">
        <v>68</v>
      </c>
      <c r="E7" s="848" t="b">
        <v>0</v>
      </c>
      <c r="F7" s="848" t="b">
        <v>0</v>
      </c>
      <c r="G7" s="848" t="b">
        <v>0</v>
      </c>
      <c r="H7" s="848" t="b">
        <v>0</v>
      </c>
      <c r="I7" s="848" t="b">
        <v>0</v>
      </c>
      <c r="J7" s="848" t="b">
        <v>0</v>
      </c>
      <c r="K7" s="848" t="b">
        <v>0</v>
      </c>
      <c r="L7" s="848" t="b">
        <v>0</v>
      </c>
      <c r="M7" s="848" t="b">
        <v>1</v>
      </c>
      <c r="N7" s="848" t="b">
        <v>0</v>
      </c>
      <c r="O7" s="848" t="b">
        <v>0</v>
      </c>
      <c r="P7" s="848" t="b">
        <v>0</v>
      </c>
      <c r="Q7" s="856" t="s">
        <v>1496</v>
      </c>
    </row>
    <row r="8" spans="1:17" ht="27" customHeight="1">
      <c r="A8" s="868" t="s">
        <v>1691</v>
      </c>
      <c r="B8" s="854" t="s">
        <v>241</v>
      </c>
      <c r="C8" s="855">
        <v>142.4</v>
      </c>
      <c r="E8" s="848" t="b">
        <v>0</v>
      </c>
      <c r="F8" s="848" t="b">
        <v>0</v>
      </c>
      <c r="G8" s="848" t="b">
        <v>0</v>
      </c>
      <c r="H8" s="848" t="b">
        <v>0</v>
      </c>
      <c r="I8" s="848" t="b">
        <v>0</v>
      </c>
      <c r="J8" s="848" t="b">
        <v>0</v>
      </c>
      <c r="K8" s="848" t="b">
        <v>0</v>
      </c>
      <c r="L8" s="848" t="b">
        <v>0</v>
      </c>
      <c r="M8" s="848" t="b">
        <v>1</v>
      </c>
      <c r="N8" s="848" t="b">
        <v>0</v>
      </c>
      <c r="O8" s="848" t="b">
        <v>0</v>
      </c>
      <c r="P8" s="848" t="b">
        <v>0</v>
      </c>
      <c r="Q8" s="856" t="s">
        <v>1496</v>
      </c>
    </row>
    <row r="9" spans="1:17" ht="27" customHeight="1">
      <c r="A9" s="868" t="s">
        <v>1691</v>
      </c>
      <c r="B9" s="854" t="s">
        <v>242</v>
      </c>
      <c r="C9" s="855">
        <v>10.790000000000001</v>
      </c>
      <c r="E9" s="848" t="b">
        <v>0</v>
      </c>
      <c r="F9" s="848" t="b">
        <v>0</v>
      </c>
      <c r="G9" s="848" t="b">
        <v>0</v>
      </c>
      <c r="H9" s="848" t="b">
        <v>0</v>
      </c>
      <c r="I9" s="848" t="b">
        <v>0</v>
      </c>
      <c r="J9" s="848" t="b">
        <v>0</v>
      </c>
      <c r="K9" s="848" t="b">
        <v>0</v>
      </c>
      <c r="L9" s="848" t="b">
        <v>0</v>
      </c>
      <c r="M9" s="848" t="b">
        <v>1</v>
      </c>
      <c r="N9" s="848" t="b">
        <v>0</v>
      </c>
      <c r="O9" s="848" t="b">
        <v>0</v>
      </c>
      <c r="P9" s="848" t="b">
        <v>0</v>
      </c>
      <c r="Q9" s="856" t="s">
        <v>1496</v>
      </c>
    </row>
    <row r="10" spans="1:17" ht="27" customHeight="1">
      <c r="A10" s="868" t="s">
        <v>1691</v>
      </c>
      <c r="B10" s="854" t="s">
        <v>248</v>
      </c>
      <c r="C10" s="855">
        <v>15.25179856115108</v>
      </c>
      <c r="E10" s="848" t="b">
        <v>0</v>
      </c>
      <c r="F10" s="848" t="b">
        <v>0</v>
      </c>
      <c r="G10" s="848" t="b">
        <v>0</v>
      </c>
      <c r="H10" s="848" t="b">
        <v>0</v>
      </c>
      <c r="I10" s="848" t="b">
        <v>0</v>
      </c>
      <c r="J10" s="848" t="b">
        <v>0</v>
      </c>
      <c r="K10" s="848" t="b">
        <v>0</v>
      </c>
      <c r="L10" s="848" t="b">
        <v>0</v>
      </c>
      <c r="M10" s="848" t="b">
        <v>1</v>
      </c>
      <c r="N10" s="848" t="b">
        <v>0</v>
      </c>
      <c r="O10" s="848" t="b">
        <v>0</v>
      </c>
      <c r="P10" s="848" t="b">
        <v>0</v>
      </c>
      <c r="Q10" s="856" t="s">
        <v>1496</v>
      </c>
    </row>
    <row r="11" spans="1:17" ht="27" customHeight="1">
      <c r="A11" s="868" t="s">
        <v>1691</v>
      </c>
      <c r="B11" s="854" t="s">
        <v>250</v>
      </c>
      <c r="C11" s="855">
        <v>1.8</v>
      </c>
      <c r="E11" s="848" t="b">
        <v>0</v>
      </c>
      <c r="F11" s="848" t="b">
        <v>0</v>
      </c>
      <c r="G11" s="848" t="b">
        <v>0</v>
      </c>
      <c r="H11" s="848" t="b">
        <v>0</v>
      </c>
      <c r="I11" s="848" t="b">
        <v>0</v>
      </c>
      <c r="J11" s="848" t="b">
        <v>0</v>
      </c>
      <c r="K11" s="848" t="b">
        <v>0</v>
      </c>
      <c r="L11" s="848" t="b">
        <v>0</v>
      </c>
      <c r="M11" s="848" t="b">
        <v>1</v>
      </c>
      <c r="N11" s="848" t="b">
        <v>0</v>
      </c>
      <c r="O11" s="848" t="b">
        <v>0</v>
      </c>
      <c r="P11" s="848" t="b">
        <v>0</v>
      </c>
      <c r="Q11" s="856" t="s">
        <v>1496</v>
      </c>
    </row>
    <row r="12" spans="1:17" ht="27" customHeight="1">
      <c r="A12" s="868" t="s">
        <v>1691</v>
      </c>
      <c r="B12" s="854" t="s">
        <v>243</v>
      </c>
      <c r="C12" s="855">
        <v>0.46765624999999994</v>
      </c>
      <c r="E12" s="848" t="b">
        <v>0</v>
      </c>
      <c r="F12" s="848" t="b">
        <v>0</v>
      </c>
      <c r="G12" s="848" t="b">
        <v>0</v>
      </c>
      <c r="H12" s="848" t="b">
        <v>0</v>
      </c>
      <c r="I12" s="848" t="b">
        <v>0</v>
      </c>
      <c r="J12" s="848" t="b">
        <v>0</v>
      </c>
      <c r="K12" s="848" t="b">
        <v>0</v>
      </c>
      <c r="L12" s="848" t="b">
        <v>0</v>
      </c>
      <c r="M12" s="848" t="b">
        <v>1</v>
      </c>
      <c r="N12" s="848" t="b">
        <v>0</v>
      </c>
      <c r="O12" s="848" t="b">
        <v>0</v>
      </c>
      <c r="P12" s="848" t="b">
        <v>0</v>
      </c>
      <c r="Q12" s="856" t="s">
        <v>1496</v>
      </c>
    </row>
    <row r="13" spans="1:17" ht="27" customHeight="1">
      <c r="A13" s="868" t="s">
        <v>1691</v>
      </c>
      <c r="B13" s="854" t="s">
        <v>245</v>
      </c>
      <c r="C13" s="855">
        <v>0.15284375</v>
      </c>
      <c r="E13" s="848" t="b">
        <v>0</v>
      </c>
      <c r="F13" s="848" t="b">
        <v>0</v>
      </c>
      <c r="G13" s="848" t="b">
        <v>0</v>
      </c>
      <c r="H13" s="848" t="b">
        <v>0</v>
      </c>
      <c r="I13" s="848" t="b">
        <v>0</v>
      </c>
      <c r="J13" s="848" t="b">
        <v>0</v>
      </c>
      <c r="K13" s="848" t="b">
        <v>0</v>
      </c>
      <c r="L13" s="848" t="b">
        <v>0</v>
      </c>
      <c r="M13" s="848" t="b">
        <v>1</v>
      </c>
      <c r="N13" s="848" t="b">
        <v>0</v>
      </c>
      <c r="O13" s="848" t="b">
        <v>0</v>
      </c>
      <c r="P13" s="848" t="b">
        <v>0</v>
      </c>
      <c r="Q13" s="856" t="s">
        <v>1496</v>
      </c>
    </row>
    <row r="14" spans="1:17" ht="27" customHeight="1">
      <c r="A14" s="868" t="s">
        <v>1691</v>
      </c>
      <c r="B14" s="854" t="s">
        <v>246</v>
      </c>
      <c r="C14" s="855">
        <v>8.9459999999999991E-3</v>
      </c>
      <c r="E14" s="848" t="b">
        <v>0</v>
      </c>
      <c r="F14" s="848" t="b">
        <v>0</v>
      </c>
      <c r="G14" s="848" t="b">
        <v>0</v>
      </c>
      <c r="H14" s="848" t="b">
        <v>0</v>
      </c>
      <c r="I14" s="848" t="b">
        <v>0</v>
      </c>
      <c r="J14" s="848" t="b">
        <v>0</v>
      </c>
      <c r="K14" s="848" t="b">
        <v>0</v>
      </c>
      <c r="L14" s="848" t="b">
        <v>0</v>
      </c>
      <c r="M14" s="848" t="b">
        <v>1</v>
      </c>
      <c r="N14" s="848" t="b">
        <v>0</v>
      </c>
      <c r="O14" s="848" t="b">
        <v>0</v>
      </c>
      <c r="P14" s="848" t="b">
        <v>0</v>
      </c>
      <c r="Q14" s="856" t="s">
        <v>1496</v>
      </c>
    </row>
    <row r="15" spans="1:17" ht="27" customHeight="1">
      <c r="A15" s="868" t="s">
        <v>1691</v>
      </c>
      <c r="B15" s="854" t="s">
        <v>258</v>
      </c>
      <c r="C15" s="855">
        <v>450</v>
      </c>
      <c r="E15" s="848" t="b">
        <v>0</v>
      </c>
      <c r="F15" s="848" t="b">
        <v>0</v>
      </c>
      <c r="G15" s="848" t="b">
        <v>0</v>
      </c>
      <c r="H15" s="848" t="b">
        <v>0</v>
      </c>
      <c r="I15" s="848" t="b">
        <v>0</v>
      </c>
      <c r="J15" s="848" t="b">
        <v>0</v>
      </c>
      <c r="K15" s="848" t="b">
        <v>0</v>
      </c>
      <c r="L15" s="848" t="b">
        <v>0</v>
      </c>
      <c r="M15" s="848" t="b">
        <v>1</v>
      </c>
      <c r="N15" s="848" t="b">
        <v>0</v>
      </c>
      <c r="O15" s="848" t="b">
        <v>0</v>
      </c>
      <c r="P15" s="848" t="b">
        <v>0</v>
      </c>
      <c r="Q15" s="856" t="s">
        <v>1496</v>
      </c>
    </row>
    <row r="16" spans="1:17" ht="27" customHeight="1">
      <c r="A16" s="868" t="s">
        <v>1691</v>
      </c>
      <c r="B16" s="854" t="s">
        <v>260</v>
      </c>
      <c r="C16" s="855">
        <v>66.197999999999993</v>
      </c>
      <c r="E16" s="848" t="b">
        <v>0</v>
      </c>
      <c r="F16" s="848" t="b">
        <v>0</v>
      </c>
      <c r="G16" s="848" t="b">
        <v>0</v>
      </c>
      <c r="H16" s="848" t="b">
        <v>0</v>
      </c>
      <c r="I16" s="848" t="b">
        <v>0</v>
      </c>
      <c r="J16" s="848" t="b">
        <v>0</v>
      </c>
      <c r="K16" s="848" t="b">
        <v>0</v>
      </c>
      <c r="L16" s="848" t="b">
        <v>0</v>
      </c>
      <c r="M16" s="848" t="b">
        <v>1</v>
      </c>
      <c r="N16" s="848" t="b">
        <v>0</v>
      </c>
      <c r="O16" s="848" t="b">
        <v>0</v>
      </c>
      <c r="P16" s="848" t="b">
        <v>0</v>
      </c>
      <c r="Q16" s="856" t="s">
        <v>1496</v>
      </c>
    </row>
    <row r="17" spans="1:17" ht="27" customHeight="1">
      <c r="A17" s="868" t="s">
        <v>1691</v>
      </c>
      <c r="B17" s="854" t="s">
        <v>261</v>
      </c>
      <c r="C17" s="855">
        <v>74.635000000000005</v>
      </c>
      <c r="E17" s="848" t="b">
        <v>0</v>
      </c>
      <c r="F17" s="848" t="b">
        <v>0</v>
      </c>
      <c r="G17" s="848" t="b">
        <v>0</v>
      </c>
      <c r="H17" s="848" t="b">
        <v>0</v>
      </c>
      <c r="I17" s="848" t="b">
        <v>0</v>
      </c>
      <c r="J17" s="848" t="b">
        <v>0</v>
      </c>
      <c r="K17" s="848" t="b">
        <v>0</v>
      </c>
      <c r="L17" s="848" t="b">
        <v>0</v>
      </c>
      <c r="M17" s="848" t="b">
        <v>1</v>
      </c>
      <c r="N17" s="848" t="b">
        <v>0</v>
      </c>
      <c r="O17" s="848" t="b">
        <v>0</v>
      </c>
      <c r="P17" s="848" t="b">
        <v>0</v>
      </c>
      <c r="Q17" s="856" t="s">
        <v>1496</v>
      </c>
    </row>
    <row r="18" spans="1:17" ht="27" customHeight="1">
      <c r="A18" s="868" t="s">
        <v>1691</v>
      </c>
      <c r="B18" s="854" t="s">
        <v>262</v>
      </c>
      <c r="C18" s="855">
        <v>60.983999999999995</v>
      </c>
      <c r="E18" s="848" t="b">
        <v>0</v>
      </c>
      <c r="F18" s="848" t="b">
        <v>0</v>
      </c>
      <c r="G18" s="848" t="b">
        <v>0</v>
      </c>
      <c r="H18" s="848" t="b">
        <v>0</v>
      </c>
      <c r="I18" s="848" t="b">
        <v>0</v>
      </c>
      <c r="J18" s="848" t="b">
        <v>0</v>
      </c>
      <c r="K18" s="848" t="b">
        <v>0</v>
      </c>
      <c r="L18" s="848" t="b">
        <v>0</v>
      </c>
      <c r="M18" s="848" t="b">
        <v>1</v>
      </c>
      <c r="N18" s="848" t="b">
        <v>0</v>
      </c>
      <c r="O18" s="848" t="b">
        <v>0</v>
      </c>
      <c r="P18" s="848" t="b">
        <v>0</v>
      </c>
      <c r="Q18" s="856" t="s">
        <v>1496</v>
      </c>
    </row>
    <row r="19" spans="1:17" ht="27" customHeight="1">
      <c r="A19" s="868" t="s">
        <v>1691</v>
      </c>
      <c r="B19" s="854" t="s">
        <v>263</v>
      </c>
      <c r="C19" s="855">
        <v>65.603999999999999</v>
      </c>
      <c r="E19" s="848" t="b">
        <v>0</v>
      </c>
      <c r="F19" s="848" t="b">
        <v>0</v>
      </c>
      <c r="G19" s="848" t="b">
        <v>0</v>
      </c>
      <c r="H19" s="848" t="b">
        <v>0</v>
      </c>
      <c r="I19" s="848" t="b">
        <v>0</v>
      </c>
      <c r="J19" s="848" t="b">
        <v>0</v>
      </c>
      <c r="K19" s="848" t="b">
        <v>0</v>
      </c>
      <c r="L19" s="848" t="b">
        <v>0</v>
      </c>
      <c r="M19" s="848" t="b">
        <v>1</v>
      </c>
      <c r="N19" s="848" t="b">
        <v>0</v>
      </c>
      <c r="O19" s="848" t="b">
        <v>0</v>
      </c>
      <c r="P19" s="848" t="b">
        <v>0</v>
      </c>
      <c r="Q19" s="856" t="s">
        <v>1496</v>
      </c>
    </row>
    <row r="20" spans="1:17" ht="27" customHeight="1">
      <c r="A20" s="868" t="s">
        <v>1691</v>
      </c>
      <c r="B20" s="854" t="s">
        <v>264</v>
      </c>
      <c r="C20" s="855">
        <v>144</v>
      </c>
      <c r="E20" s="848" t="b">
        <v>0</v>
      </c>
      <c r="F20" s="848" t="b">
        <v>0</v>
      </c>
      <c r="G20" s="848" t="b">
        <v>0</v>
      </c>
      <c r="H20" s="848" t="b">
        <v>0</v>
      </c>
      <c r="I20" s="848" t="b">
        <v>0</v>
      </c>
      <c r="J20" s="848" t="b">
        <v>0</v>
      </c>
      <c r="K20" s="848" t="b">
        <v>0</v>
      </c>
      <c r="L20" s="848" t="b">
        <v>0</v>
      </c>
      <c r="M20" s="848" t="b">
        <v>1</v>
      </c>
      <c r="N20" s="848" t="b">
        <v>0</v>
      </c>
      <c r="O20" s="848" t="b">
        <v>0</v>
      </c>
      <c r="P20" s="848" t="b">
        <v>0</v>
      </c>
      <c r="Q20" s="856" t="s">
        <v>1496</v>
      </c>
    </row>
    <row r="21" spans="1:17" ht="27" customHeight="1">
      <c r="A21" s="868" t="s">
        <v>1691</v>
      </c>
      <c r="B21" s="854" t="s">
        <v>265</v>
      </c>
      <c r="C21" s="855">
        <v>9.879999999999999</v>
      </c>
      <c r="E21" s="848" t="b">
        <v>0</v>
      </c>
      <c r="F21" s="848" t="b">
        <v>0</v>
      </c>
      <c r="G21" s="848" t="b">
        <v>0</v>
      </c>
      <c r="H21" s="848" t="b">
        <v>0</v>
      </c>
      <c r="I21" s="848" t="b">
        <v>0</v>
      </c>
      <c r="J21" s="848" t="b">
        <v>0</v>
      </c>
      <c r="K21" s="848" t="b">
        <v>0</v>
      </c>
      <c r="L21" s="848" t="b">
        <v>0</v>
      </c>
      <c r="M21" s="848" t="b">
        <v>1</v>
      </c>
      <c r="N21" s="848" t="b">
        <v>0</v>
      </c>
      <c r="O21" s="848" t="b">
        <v>0</v>
      </c>
      <c r="P21" s="848" t="b">
        <v>0</v>
      </c>
      <c r="Q21" s="856" t="s">
        <v>1496</v>
      </c>
    </row>
    <row r="22" spans="1:17" ht="27" customHeight="1">
      <c r="A22" s="868" t="s">
        <v>1691</v>
      </c>
      <c r="B22" s="854" t="s">
        <v>266</v>
      </c>
      <c r="C22" s="855">
        <v>7.0042</v>
      </c>
      <c r="E22" s="848" t="b">
        <v>0</v>
      </c>
      <c r="F22" s="848" t="b">
        <v>0</v>
      </c>
      <c r="G22" s="848" t="b">
        <v>0</v>
      </c>
      <c r="H22" s="848" t="b">
        <v>0</v>
      </c>
      <c r="I22" s="848" t="b">
        <v>0</v>
      </c>
      <c r="J22" s="848" t="b">
        <v>0</v>
      </c>
      <c r="K22" s="848" t="b">
        <v>0</v>
      </c>
      <c r="L22" s="848" t="b">
        <v>0</v>
      </c>
      <c r="M22" s="848" t="b">
        <v>1</v>
      </c>
      <c r="N22" s="848" t="b">
        <v>0</v>
      </c>
      <c r="O22" s="848" t="b">
        <v>0</v>
      </c>
      <c r="P22" s="848" t="b">
        <v>0</v>
      </c>
      <c r="Q22" s="856" t="s">
        <v>1496</v>
      </c>
    </row>
    <row r="23" spans="1:17" ht="27" customHeight="1">
      <c r="A23" s="868" t="s">
        <v>1691</v>
      </c>
      <c r="B23" s="854" t="s">
        <v>267</v>
      </c>
      <c r="C23" s="855">
        <v>2.35</v>
      </c>
      <c r="E23" s="848" t="b">
        <v>0</v>
      </c>
      <c r="F23" s="848" t="b">
        <v>0</v>
      </c>
      <c r="G23" s="848" t="b">
        <v>0</v>
      </c>
      <c r="H23" s="848" t="b">
        <v>0</v>
      </c>
      <c r="I23" s="848" t="b">
        <v>0</v>
      </c>
      <c r="J23" s="848" t="b">
        <v>0</v>
      </c>
      <c r="K23" s="848" t="b">
        <v>0</v>
      </c>
      <c r="L23" s="848" t="b">
        <v>0</v>
      </c>
      <c r="M23" s="848" t="b">
        <v>1</v>
      </c>
      <c r="N23" s="848" t="b">
        <v>0</v>
      </c>
      <c r="O23" s="848" t="b">
        <v>0</v>
      </c>
      <c r="P23" s="848" t="b">
        <v>0</v>
      </c>
      <c r="Q23" s="856" t="s">
        <v>1496</v>
      </c>
    </row>
    <row r="24" spans="1:17" ht="27" customHeight="1">
      <c r="A24" s="868" t="s">
        <v>1691</v>
      </c>
      <c r="B24" s="854" t="s">
        <v>268</v>
      </c>
      <c r="C24" s="855">
        <v>0.44484374999999998</v>
      </c>
      <c r="E24" s="848" t="b">
        <v>0</v>
      </c>
      <c r="F24" s="848" t="b">
        <v>0</v>
      </c>
      <c r="G24" s="848" t="b">
        <v>0</v>
      </c>
      <c r="H24" s="848" t="b">
        <v>0</v>
      </c>
      <c r="I24" s="848" t="b">
        <v>0</v>
      </c>
      <c r="J24" s="848" t="b">
        <v>0</v>
      </c>
      <c r="K24" s="848" t="b">
        <v>0</v>
      </c>
      <c r="L24" s="848" t="b">
        <v>0</v>
      </c>
      <c r="M24" s="848" t="b">
        <v>1</v>
      </c>
      <c r="N24" s="848" t="b">
        <v>0</v>
      </c>
      <c r="O24" s="848" t="b">
        <v>0</v>
      </c>
      <c r="P24" s="848" t="b">
        <v>0</v>
      </c>
      <c r="Q24" s="856" t="s">
        <v>1496</v>
      </c>
    </row>
    <row r="25" spans="1:17" ht="27" customHeight="1">
      <c r="A25" s="868" t="s">
        <v>1691</v>
      </c>
      <c r="B25" s="854" t="s">
        <v>270</v>
      </c>
      <c r="C25" s="855">
        <v>0.1140625</v>
      </c>
      <c r="E25" s="848" t="b">
        <v>0</v>
      </c>
      <c r="F25" s="848" t="b">
        <v>0</v>
      </c>
      <c r="G25" s="848" t="b">
        <v>0</v>
      </c>
      <c r="H25" s="848" t="b">
        <v>0</v>
      </c>
      <c r="I25" s="848" t="b">
        <v>0</v>
      </c>
      <c r="J25" s="848" t="b">
        <v>0</v>
      </c>
      <c r="K25" s="848" t="b">
        <v>0</v>
      </c>
      <c r="L25" s="848" t="b">
        <v>0</v>
      </c>
      <c r="M25" s="848" t="b">
        <v>1</v>
      </c>
      <c r="N25" s="848" t="b">
        <v>0</v>
      </c>
      <c r="O25" s="848" t="b">
        <v>0</v>
      </c>
      <c r="P25" s="848" t="b">
        <v>0</v>
      </c>
      <c r="Q25" s="856" t="s">
        <v>1496</v>
      </c>
    </row>
    <row r="26" spans="1:17" ht="27" customHeight="1">
      <c r="A26" s="868" t="s">
        <v>1691</v>
      </c>
      <c r="B26" s="854" t="s">
        <v>271</v>
      </c>
      <c r="C26" s="855">
        <v>1.26E-2</v>
      </c>
      <c r="E26" s="848" t="b">
        <v>0</v>
      </c>
      <c r="F26" s="848" t="b">
        <v>0</v>
      </c>
      <c r="G26" s="848" t="b">
        <v>0</v>
      </c>
      <c r="H26" s="848" t="b">
        <v>0</v>
      </c>
      <c r="I26" s="848" t="b">
        <v>0</v>
      </c>
      <c r="J26" s="848" t="b">
        <v>0</v>
      </c>
      <c r="K26" s="848" t="b">
        <v>0</v>
      </c>
      <c r="L26" s="848" t="b">
        <v>0</v>
      </c>
      <c r="M26" s="848" t="b">
        <v>1</v>
      </c>
      <c r="N26" s="848" t="b">
        <v>0</v>
      </c>
      <c r="O26" s="848" t="b">
        <v>0</v>
      </c>
      <c r="P26" s="848" t="b">
        <v>0</v>
      </c>
      <c r="Q26" s="856" t="s">
        <v>1496</v>
      </c>
    </row>
    <row r="27" spans="1:17" ht="27" customHeight="1">
      <c r="A27" s="868" t="s">
        <v>1691</v>
      </c>
      <c r="B27" s="854" t="s">
        <v>281</v>
      </c>
      <c r="C27" s="855">
        <v>165</v>
      </c>
      <c r="E27" s="848" t="b">
        <v>0</v>
      </c>
      <c r="F27" s="848" t="b">
        <v>0</v>
      </c>
      <c r="G27" s="848" t="b">
        <v>0</v>
      </c>
      <c r="H27" s="848" t="b">
        <v>0</v>
      </c>
      <c r="I27" s="848" t="b">
        <v>0</v>
      </c>
      <c r="J27" s="848" t="b">
        <v>0</v>
      </c>
      <c r="K27" s="848" t="b">
        <v>0</v>
      </c>
      <c r="L27" s="848" t="b">
        <v>0</v>
      </c>
      <c r="M27" s="848" t="b">
        <v>1</v>
      </c>
      <c r="N27" s="848" t="b">
        <v>0</v>
      </c>
      <c r="O27" s="848" t="b">
        <v>0</v>
      </c>
      <c r="P27" s="848" t="b">
        <v>0</v>
      </c>
      <c r="Q27" s="856" t="s">
        <v>1496</v>
      </c>
    </row>
    <row r="28" spans="1:17" ht="27" customHeight="1">
      <c r="A28" s="868" t="s">
        <v>1691</v>
      </c>
      <c r="B28" s="854" t="s">
        <v>282</v>
      </c>
      <c r="C28" s="855">
        <v>27</v>
      </c>
      <c r="E28" s="848" t="b">
        <v>0</v>
      </c>
      <c r="F28" s="848" t="b">
        <v>0</v>
      </c>
      <c r="G28" s="848" t="b">
        <v>0</v>
      </c>
      <c r="H28" s="848" t="b">
        <v>0</v>
      </c>
      <c r="I28" s="848" t="b">
        <v>0</v>
      </c>
      <c r="J28" s="848" t="b">
        <v>0</v>
      </c>
      <c r="K28" s="848" t="b">
        <v>0</v>
      </c>
      <c r="L28" s="848" t="b">
        <v>0</v>
      </c>
      <c r="M28" s="848" t="b">
        <v>1</v>
      </c>
      <c r="N28" s="848" t="b">
        <v>0</v>
      </c>
      <c r="O28" s="848" t="b">
        <v>0</v>
      </c>
      <c r="P28" s="848" t="b">
        <v>0</v>
      </c>
      <c r="Q28" s="856" t="s">
        <v>1496</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B32" sqref="B32"/>
    </sheetView>
  </sheetViews>
  <sheetFormatPr defaultRowHeight="19.5"/>
  <cols>
    <col min="1" max="1" width="24.5" style="867" customWidth="1"/>
    <col min="2" max="2" width="23" style="857" customWidth="1"/>
    <col min="3" max="3" width="20.125" style="858" customWidth="1"/>
    <col min="4" max="4" width="9" style="848"/>
    <col min="5" max="16" width="9" style="848" hidden="1" customWidth="1"/>
    <col min="17" max="16384" width="9" style="848"/>
  </cols>
  <sheetData>
    <row r="1" spans="1:17" ht="71.45" customHeight="1">
      <c r="A1" s="863" t="s">
        <v>316</v>
      </c>
      <c r="B1" s="846"/>
      <c r="C1" s="847"/>
    </row>
    <row r="2" spans="1:17" s="851" customFormat="1" ht="18.75">
      <c r="A2" s="866" t="s">
        <v>317</v>
      </c>
      <c r="B2" s="849" t="s">
        <v>318</v>
      </c>
      <c r="C2" s="850" t="s">
        <v>338</v>
      </c>
      <c r="E2" s="852">
        <v>1</v>
      </c>
      <c r="F2" s="852" t="s">
        <v>828</v>
      </c>
      <c r="G2" s="852">
        <v>2</v>
      </c>
      <c r="H2" s="852" t="s">
        <v>828</v>
      </c>
      <c r="I2" s="852">
        <v>3</v>
      </c>
      <c r="J2" s="852" t="s">
        <v>828</v>
      </c>
      <c r="K2" s="852">
        <v>4</v>
      </c>
      <c r="L2" s="852" t="s">
        <v>828</v>
      </c>
      <c r="M2" s="852">
        <v>5</v>
      </c>
      <c r="N2" s="852" t="s">
        <v>828</v>
      </c>
      <c r="O2" s="852">
        <v>6</v>
      </c>
      <c r="P2" s="852" t="s">
        <v>828</v>
      </c>
      <c r="Q2" s="853">
        <v>6</v>
      </c>
    </row>
    <row r="3" spans="1:17" s="851" customFormat="1" ht="18.75">
      <c r="A3" s="866" t="s">
        <v>341</v>
      </c>
      <c r="B3" s="849" t="s">
        <v>342</v>
      </c>
      <c r="C3" s="850" t="s">
        <v>353</v>
      </c>
      <c r="Q3" s="860"/>
    </row>
    <row r="4" spans="1:17">
      <c r="A4" s="871" t="s">
        <v>1694</v>
      </c>
      <c r="B4" s="314" t="s">
        <v>237</v>
      </c>
      <c r="C4" s="855">
        <v>32.799999999999997</v>
      </c>
      <c r="E4" s="848" t="b">
        <v>0</v>
      </c>
      <c r="F4" s="848" t="b">
        <v>0</v>
      </c>
      <c r="G4" s="848" t="b">
        <v>0</v>
      </c>
      <c r="H4" s="848" t="b">
        <v>0</v>
      </c>
      <c r="I4" s="848" t="b">
        <v>0</v>
      </c>
      <c r="J4" s="848" t="b">
        <v>0</v>
      </c>
      <c r="K4" s="848" t="b">
        <v>0</v>
      </c>
      <c r="L4" s="848" t="b">
        <v>0</v>
      </c>
      <c r="M4" s="848" t="b">
        <v>0</v>
      </c>
      <c r="N4" s="848" t="b">
        <v>0</v>
      </c>
      <c r="O4" s="848" t="b">
        <v>1</v>
      </c>
      <c r="P4" s="848" t="b">
        <v>0</v>
      </c>
      <c r="Q4" s="856" t="s">
        <v>1496</v>
      </c>
    </row>
    <row r="5" spans="1:17">
      <c r="A5" s="872" t="s">
        <v>1694</v>
      </c>
      <c r="B5" s="314" t="s">
        <v>238</v>
      </c>
      <c r="C5" s="855">
        <v>32</v>
      </c>
      <c r="E5" s="848" t="b">
        <v>0</v>
      </c>
      <c r="F5" s="848" t="b">
        <v>0</v>
      </c>
      <c r="G5" s="848" t="b">
        <v>0</v>
      </c>
      <c r="H5" s="848" t="b">
        <v>0</v>
      </c>
      <c r="I5" s="848" t="b">
        <v>0</v>
      </c>
      <c r="J5" s="848" t="b">
        <v>0</v>
      </c>
      <c r="K5" s="848" t="b">
        <v>0</v>
      </c>
      <c r="L5" s="848" t="b">
        <v>0</v>
      </c>
      <c r="M5" s="848" t="b">
        <v>0</v>
      </c>
      <c r="N5" s="848" t="b">
        <v>0</v>
      </c>
      <c r="O5" s="848" t="b">
        <v>1</v>
      </c>
      <c r="P5" s="848" t="b">
        <v>0</v>
      </c>
      <c r="Q5" s="856" t="s">
        <v>1496</v>
      </c>
    </row>
    <row r="6" spans="1:17">
      <c r="A6" s="872" t="s">
        <v>1694</v>
      </c>
      <c r="B6" s="314" t="s">
        <v>239</v>
      </c>
      <c r="C6" s="855">
        <v>78.8</v>
      </c>
      <c r="E6" s="848" t="b">
        <v>0</v>
      </c>
      <c r="F6" s="848" t="b">
        <v>0</v>
      </c>
      <c r="G6" s="848" t="b">
        <v>0</v>
      </c>
      <c r="H6" s="848" t="b">
        <v>0</v>
      </c>
      <c r="I6" s="848" t="b">
        <v>0</v>
      </c>
      <c r="J6" s="848" t="b">
        <v>0</v>
      </c>
      <c r="K6" s="848" t="b">
        <v>0</v>
      </c>
      <c r="L6" s="848" t="b">
        <v>0</v>
      </c>
      <c r="M6" s="848" t="b">
        <v>0</v>
      </c>
      <c r="N6" s="848" t="b">
        <v>0</v>
      </c>
      <c r="O6" s="848" t="b">
        <v>1</v>
      </c>
      <c r="P6" s="848" t="b">
        <v>0</v>
      </c>
      <c r="Q6" s="856" t="s">
        <v>1496</v>
      </c>
    </row>
    <row r="7" spans="1:17">
      <c r="A7" s="872" t="s">
        <v>1694</v>
      </c>
      <c r="B7" s="314" t="s">
        <v>240</v>
      </c>
      <c r="C7" s="855">
        <v>68</v>
      </c>
      <c r="E7" s="848" t="b">
        <v>0</v>
      </c>
      <c r="F7" s="848" t="b">
        <v>0</v>
      </c>
      <c r="G7" s="848" t="b">
        <v>0</v>
      </c>
      <c r="H7" s="848" t="b">
        <v>0</v>
      </c>
      <c r="I7" s="848" t="b">
        <v>0</v>
      </c>
      <c r="J7" s="848" t="b">
        <v>0</v>
      </c>
      <c r="K7" s="848" t="b">
        <v>0</v>
      </c>
      <c r="L7" s="848" t="b">
        <v>0</v>
      </c>
      <c r="M7" s="848" t="b">
        <v>0</v>
      </c>
      <c r="N7" s="848" t="b">
        <v>0</v>
      </c>
      <c r="O7" s="848" t="b">
        <v>1</v>
      </c>
      <c r="P7" s="848" t="b">
        <v>0</v>
      </c>
      <c r="Q7" s="856" t="s">
        <v>1496</v>
      </c>
    </row>
    <row r="8" spans="1:17">
      <c r="A8" s="872" t="s">
        <v>1694</v>
      </c>
      <c r="B8" s="314" t="s">
        <v>241</v>
      </c>
      <c r="C8" s="855">
        <v>142.4</v>
      </c>
      <c r="E8" s="848" t="b">
        <v>0</v>
      </c>
      <c r="F8" s="848" t="b">
        <v>0</v>
      </c>
      <c r="G8" s="848" t="b">
        <v>0</v>
      </c>
      <c r="H8" s="848" t="b">
        <v>0</v>
      </c>
      <c r="I8" s="848" t="b">
        <v>0</v>
      </c>
      <c r="J8" s="848" t="b">
        <v>0</v>
      </c>
      <c r="K8" s="848" t="b">
        <v>0</v>
      </c>
      <c r="L8" s="848" t="b">
        <v>0</v>
      </c>
      <c r="M8" s="848" t="b">
        <v>0</v>
      </c>
      <c r="N8" s="848" t="b">
        <v>0</v>
      </c>
      <c r="O8" s="848" t="b">
        <v>1</v>
      </c>
      <c r="P8" s="848" t="b">
        <v>0</v>
      </c>
      <c r="Q8" s="856" t="s">
        <v>1496</v>
      </c>
    </row>
    <row r="9" spans="1:17">
      <c r="A9" s="872" t="s">
        <v>1694</v>
      </c>
      <c r="B9" s="314" t="s">
        <v>242</v>
      </c>
      <c r="C9" s="855">
        <v>10.595000000000001</v>
      </c>
      <c r="E9" s="848" t="b">
        <v>0</v>
      </c>
      <c r="F9" s="848" t="b">
        <v>0</v>
      </c>
      <c r="G9" s="848" t="b">
        <v>0</v>
      </c>
      <c r="H9" s="848" t="b">
        <v>0</v>
      </c>
      <c r="I9" s="848" t="b">
        <v>0</v>
      </c>
      <c r="J9" s="848" t="b">
        <v>0</v>
      </c>
      <c r="K9" s="848" t="b">
        <v>0</v>
      </c>
      <c r="L9" s="848" t="b">
        <v>0</v>
      </c>
      <c r="M9" s="848" t="b">
        <v>0</v>
      </c>
      <c r="N9" s="848" t="b">
        <v>0</v>
      </c>
      <c r="O9" s="848" t="b">
        <v>1</v>
      </c>
      <c r="P9" s="848" t="b">
        <v>0</v>
      </c>
      <c r="Q9" s="856" t="s">
        <v>1496</v>
      </c>
    </row>
    <row r="10" spans="1:17">
      <c r="A10" s="872" t="s">
        <v>1694</v>
      </c>
      <c r="B10" s="314" t="s">
        <v>248</v>
      </c>
      <c r="C10" s="855">
        <v>14.676258992805753</v>
      </c>
      <c r="E10" s="848" t="b">
        <v>0</v>
      </c>
      <c r="F10" s="848" t="b">
        <v>0</v>
      </c>
      <c r="G10" s="848" t="b">
        <v>0</v>
      </c>
      <c r="H10" s="848" t="b">
        <v>0</v>
      </c>
      <c r="I10" s="848" t="b">
        <v>0</v>
      </c>
      <c r="J10" s="848" t="b">
        <v>0</v>
      </c>
      <c r="K10" s="848" t="b">
        <v>0</v>
      </c>
      <c r="L10" s="848" t="b">
        <v>0</v>
      </c>
      <c r="M10" s="848" t="b">
        <v>0</v>
      </c>
      <c r="N10" s="848" t="b">
        <v>0</v>
      </c>
      <c r="O10" s="848" t="b">
        <v>1</v>
      </c>
      <c r="P10" s="848" t="b">
        <v>0</v>
      </c>
      <c r="Q10" s="856" t="s">
        <v>1496</v>
      </c>
    </row>
    <row r="11" spans="1:17">
      <c r="A11" s="872" t="s">
        <v>1694</v>
      </c>
      <c r="B11" s="314" t="s">
        <v>250</v>
      </c>
      <c r="C11" s="855">
        <v>1.76</v>
      </c>
      <c r="E11" s="848" t="b">
        <v>0</v>
      </c>
      <c r="F11" s="848" t="b">
        <v>0</v>
      </c>
      <c r="G11" s="848" t="b">
        <v>0</v>
      </c>
      <c r="H11" s="848" t="b">
        <v>0</v>
      </c>
      <c r="I11" s="848" t="b">
        <v>0</v>
      </c>
      <c r="J11" s="848" t="b">
        <v>0</v>
      </c>
      <c r="K11" s="848" t="b">
        <v>0</v>
      </c>
      <c r="L11" s="848" t="b">
        <v>0</v>
      </c>
      <c r="M11" s="848" t="b">
        <v>0</v>
      </c>
      <c r="N11" s="848" t="b">
        <v>0</v>
      </c>
      <c r="O11" s="848" t="b">
        <v>1</v>
      </c>
      <c r="P11" s="848" t="b">
        <v>0</v>
      </c>
      <c r="Q11" s="856" t="s">
        <v>1496</v>
      </c>
    </row>
    <row r="12" spans="1:17">
      <c r="A12" s="872" t="s">
        <v>1694</v>
      </c>
      <c r="B12" s="314" t="s">
        <v>243</v>
      </c>
      <c r="C12" s="855">
        <v>0.46195312499999991</v>
      </c>
      <c r="E12" s="848" t="b">
        <v>0</v>
      </c>
      <c r="F12" s="848" t="b">
        <v>0</v>
      </c>
      <c r="G12" s="848" t="b">
        <v>0</v>
      </c>
      <c r="H12" s="848" t="b">
        <v>0</v>
      </c>
      <c r="I12" s="848" t="b">
        <v>0</v>
      </c>
      <c r="J12" s="848" t="b">
        <v>0</v>
      </c>
      <c r="K12" s="848" t="b">
        <v>0</v>
      </c>
      <c r="L12" s="848" t="b">
        <v>0</v>
      </c>
      <c r="M12" s="848" t="b">
        <v>0</v>
      </c>
      <c r="N12" s="848" t="b">
        <v>0</v>
      </c>
      <c r="O12" s="848" t="b">
        <v>1</v>
      </c>
      <c r="P12" s="848" t="b">
        <v>0</v>
      </c>
      <c r="Q12" s="856" t="s">
        <v>1496</v>
      </c>
    </row>
    <row r="13" spans="1:17">
      <c r="A13" s="872" t="s">
        <v>1694</v>
      </c>
      <c r="B13" s="314" t="s">
        <v>245</v>
      </c>
      <c r="C13" s="855">
        <v>0.1140625</v>
      </c>
      <c r="E13" s="848" t="b">
        <v>0</v>
      </c>
      <c r="F13" s="848" t="b">
        <v>0</v>
      </c>
      <c r="G13" s="848" t="b">
        <v>0</v>
      </c>
      <c r="H13" s="848" t="b">
        <v>0</v>
      </c>
      <c r="I13" s="848" t="b">
        <v>0</v>
      </c>
      <c r="J13" s="848" t="b">
        <v>0</v>
      </c>
      <c r="K13" s="848" t="b">
        <v>0</v>
      </c>
      <c r="L13" s="848" t="b">
        <v>0</v>
      </c>
      <c r="M13" s="848" t="b">
        <v>0</v>
      </c>
      <c r="N13" s="848" t="b">
        <v>0</v>
      </c>
      <c r="O13" s="848" t="b">
        <v>1</v>
      </c>
      <c r="P13" s="848" t="b">
        <v>0</v>
      </c>
      <c r="Q13" s="856" t="s">
        <v>1496</v>
      </c>
    </row>
    <row r="14" spans="1:17">
      <c r="A14" s="872" t="s">
        <v>1694</v>
      </c>
      <c r="B14" s="314" t="s">
        <v>246</v>
      </c>
      <c r="C14" s="855">
        <v>7.5599999999999999E-3</v>
      </c>
      <c r="E14" s="848" t="b">
        <v>0</v>
      </c>
      <c r="F14" s="848" t="b">
        <v>0</v>
      </c>
      <c r="G14" s="848" t="b">
        <v>0</v>
      </c>
      <c r="H14" s="848" t="b">
        <v>0</v>
      </c>
      <c r="I14" s="848" t="b">
        <v>0</v>
      </c>
      <c r="J14" s="848" t="b">
        <v>0</v>
      </c>
      <c r="K14" s="848" t="b">
        <v>0</v>
      </c>
      <c r="L14" s="848" t="b">
        <v>0</v>
      </c>
      <c r="M14" s="848" t="b">
        <v>0</v>
      </c>
      <c r="N14" s="848" t="b">
        <v>0</v>
      </c>
      <c r="O14" s="848" t="b">
        <v>1</v>
      </c>
      <c r="P14" s="848" t="b">
        <v>0</v>
      </c>
      <c r="Q14" s="856" t="s">
        <v>1496</v>
      </c>
    </row>
    <row r="15" spans="1:17">
      <c r="A15" s="872" t="s">
        <v>1694</v>
      </c>
      <c r="B15" s="314" t="s">
        <v>258</v>
      </c>
      <c r="C15" s="855">
        <v>455</v>
      </c>
      <c r="E15" s="848" t="b">
        <v>0</v>
      </c>
      <c r="F15" s="848" t="b">
        <v>0</v>
      </c>
      <c r="G15" s="848" t="b">
        <v>0</v>
      </c>
      <c r="H15" s="848" t="b">
        <v>0</v>
      </c>
      <c r="I15" s="848" t="b">
        <v>0</v>
      </c>
      <c r="J15" s="848" t="b">
        <v>0</v>
      </c>
      <c r="K15" s="848" t="b">
        <v>0</v>
      </c>
      <c r="L15" s="848" t="b">
        <v>0</v>
      </c>
      <c r="M15" s="848" t="b">
        <v>0</v>
      </c>
      <c r="N15" s="848" t="b">
        <v>0</v>
      </c>
      <c r="O15" s="848" t="b">
        <v>1</v>
      </c>
      <c r="P15" s="848" t="b">
        <v>0</v>
      </c>
      <c r="Q15" s="856" t="s">
        <v>1496</v>
      </c>
    </row>
    <row r="16" spans="1:17">
      <c r="A16" s="872" t="s">
        <v>1694</v>
      </c>
      <c r="B16" s="314" t="s">
        <v>260</v>
      </c>
      <c r="C16" s="855">
        <v>67.496000000000009</v>
      </c>
      <c r="E16" s="848" t="b">
        <v>0</v>
      </c>
      <c r="F16" s="848" t="b">
        <v>0</v>
      </c>
      <c r="G16" s="848" t="b">
        <v>0</v>
      </c>
      <c r="H16" s="848" t="b">
        <v>0</v>
      </c>
      <c r="I16" s="848" t="b">
        <v>0</v>
      </c>
      <c r="J16" s="848" t="b">
        <v>0</v>
      </c>
      <c r="K16" s="848" t="b">
        <v>0</v>
      </c>
      <c r="L16" s="848" t="b">
        <v>0</v>
      </c>
      <c r="M16" s="848" t="b">
        <v>0</v>
      </c>
      <c r="N16" s="848" t="b">
        <v>0</v>
      </c>
      <c r="O16" s="848" t="b">
        <v>1</v>
      </c>
      <c r="P16" s="848" t="b">
        <v>0</v>
      </c>
      <c r="Q16" s="856" t="s">
        <v>1496</v>
      </c>
    </row>
    <row r="17" spans="1:17">
      <c r="A17" s="872" t="s">
        <v>1694</v>
      </c>
      <c r="B17" s="314" t="s">
        <v>261</v>
      </c>
      <c r="C17" s="855">
        <v>74.635000000000005</v>
      </c>
      <c r="E17" s="848" t="b">
        <v>0</v>
      </c>
      <c r="F17" s="848" t="b">
        <v>0</v>
      </c>
      <c r="G17" s="848" t="b">
        <v>0</v>
      </c>
      <c r="H17" s="848" t="b">
        <v>0</v>
      </c>
      <c r="I17" s="848" t="b">
        <v>0</v>
      </c>
      <c r="J17" s="848" t="b">
        <v>0</v>
      </c>
      <c r="K17" s="848" t="b">
        <v>0</v>
      </c>
      <c r="L17" s="848" t="b">
        <v>0</v>
      </c>
      <c r="M17" s="848" t="b">
        <v>0</v>
      </c>
      <c r="N17" s="848" t="b">
        <v>0</v>
      </c>
      <c r="O17" s="848" t="b">
        <v>1</v>
      </c>
      <c r="P17" s="848" t="b">
        <v>0</v>
      </c>
      <c r="Q17" s="856" t="s">
        <v>1496</v>
      </c>
    </row>
    <row r="18" spans="1:17">
      <c r="A18" s="872" t="s">
        <v>1694</v>
      </c>
      <c r="B18" s="314" t="s">
        <v>262</v>
      </c>
      <c r="C18" s="855">
        <v>59.598000000000006</v>
      </c>
      <c r="E18" s="848" t="b">
        <v>0</v>
      </c>
      <c r="F18" s="848" t="b">
        <v>0</v>
      </c>
      <c r="G18" s="848" t="b">
        <v>0</v>
      </c>
      <c r="H18" s="848" t="b">
        <v>0</v>
      </c>
      <c r="I18" s="848" t="b">
        <v>0</v>
      </c>
      <c r="J18" s="848" t="b">
        <v>0</v>
      </c>
      <c r="K18" s="848" t="b">
        <v>0</v>
      </c>
      <c r="L18" s="848" t="b">
        <v>0</v>
      </c>
      <c r="M18" s="848" t="b">
        <v>0</v>
      </c>
      <c r="N18" s="848" t="b">
        <v>0</v>
      </c>
      <c r="O18" s="848" t="b">
        <v>1</v>
      </c>
      <c r="P18" s="848" t="b">
        <v>0</v>
      </c>
      <c r="Q18" s="856" t="s">
        <v>1496</v>
      </c>
    </row>
    <row r="19" spans="1:17">
      <c r="A19" s="872" t="s">
        <v>1694</v>
      </c>
      <c r="B19" s="314" t="s">
        <v>263</v>
      </c>
      <c r="C19" s="855">
        <v>67.914000000000001</v>
      </c>
      <c r="E19" s="848" t="b">
        <v>0</v>
      </c>
      <c r="F19" s="848" t="b">
        <v>0</v>
      </c>
      <c r="G19" s="848" t="b">
        <v>0</v>
      </c>
      <c r="H19" s="848" t="b">
        <v>0</v>
      </c>
      <c r="I19" s="848" t="b">
        <v>0</v>
      </c>
      <c r="J19" s="848" t="b">
        <v>0</v>
      </c>
      <c r="K19" s="848" t="b">
        <v>0</v>
      </c>
      <c r="L19" s="848" t="b">
        <v>0</v>
      </c>
      <c r="M19" s="848" t="b">
        <v>0</v>
      </c>
      <c r="N19" s="848" t="b">
        <v>0</v>
      </c>
      <c r="O19" s="848" t="b">
        <v>1</v>
      </c>
      <c r="P19" s="848" t="b">
        <v>0</v>
      </c>
      <c r="Q19" s="856" t="s">
        <v>1496</v>
      </c>
    </row>
    <row r="20" spans="1:17">
      <c r="A20" s="872" t="s">
        <v>1694</v>
      </c>
      <c r="B20" s="314" t="s">
        <v>264</v>
      </c>
      <c r="C20" s="855">
        <v>144</v>
      </c>
      <c r="E20" s="848" t="b">
        <v>0</v>
      </c>
      <c r="F20" s="848" t="b">
        <v>0</v>
      </c>
      <c r="G20" s="848" t="b">
        <v>0</v>
      </c>
      <c r="H20" s="848" t="b">
        <v>0</v>
      </c>
      <c r="I20" s="848" t="b">
        <v>0</v>
      </c>
      <c r="J20" s="848" t="b">
        <v>0</v>
      </c>
      <c r="K20" s="848" t="b">
        <v>0</v>
      </c>
      <c r="L20" s="848" t="b">
        <v>0</v>
      </c>
      <c r="M20" s="848" t="b">
        <v>0</v>
      </c>
      <c r="N20" s="848" t="b">
        <v>0</v>
      </c>
      <c r="O20" s="848" t="b">
        <v>1</v>
      </c>
      <c r="P20" s="848" t="b">
        <v>0</v>
      </c>
      <c r="Q20" s="856" t="s">
        <v>1496</v>
      </c>
    </row>
    <row r="21" spans="1:17">
      <c r="A21" s="872" t="s">
        <v>1694</v>
      </c>
      <c r="B21" s="314" t="s">
        <v>265</v>
      </c>
      <c r="C21" s="855">
        <v>10.01</v>
      </c>
      <c r="E21" s="848" t="b">
        <v>0</v>
      </c>
      <c r="F21" s="848" t="b">
        <v>0</v>
      </c>
      <c r="G21" s="848" t="b">
        <v>0</v>
      </c>
      <c r="H21" s="848" t="b">
        <v>0</v>
      </c>
      <c r="I21" s="848" t="b">
        <v>0</v>
      </c>
      <c r="J21" s="848" t="b">
        <v>0</v>
      </c>
      <c r="K21" s="848" t="b">
        <v>0</v>
      </c>
      <c r="L21" s="848" t="b">
        <v>0</v>
      </c>
      <c r="M21" s="848" t="b">
        <v>0</v>
      </c>
      <c r="N21" s="848" t="b">
        <v>0</v>
      </c>
      <c r="O21" s="848" t="b">
        <v>1</v>
      </c>
      <c r="P21" s="848" t="b">
        <v>0</v>
      </c>
      <c r="Q21" s="856" t="s">
        <v>1496</v>
      </c>
    </row>
    <row r="22" spans="1:17">
      <c r="A22" s="872" t="s">
        <v>1694</v>
      </c>
      <c r="B22" s="314" t="s">
        <v>266</v>
      </c>
      <c r="C22" s="855">
        <v>6.4957600000000006</v>
      </c>
      <c r="E22" s="848" t="b">
        <v>0</v>
      </c>
      <c r="F22" s="848" t="b">
        <v>0</v>
      </c>
      <c r="G22" s="848" t="b">
        <v>0</v>
      </c>
      <c r="H22" s="848" t="b">
        <v>0</v>
      </c>
      <c r="I22" s="848" t="b">
        <v>0</v>
      </c>
      <c r="J22" s="848" t="b">
        <v>0</v>
      </c>
      <c r="K22" s="848" t="b">
        <v>0</v>
      </c>
      <c r="L22" s="848" t="b">
        <v>0</v>
      </c>
      <c r="M22" s="848" t="b">
        <v>0</v>
      </c>
      <c r="N22" s="848" t="b">
        <v>0</v>
      </c>
      <c r="O22" s="848" t="b">
        <v>1</v>
      </c>
      <c r="P22" s="848" t="b">
        <v>0</v>
      </c>
      <c r="Q22" s="856" t="s">
        <v>1496</v>
      </c>
    </row>
    <row r="23" spans="1:17">
      <c r="A23" s="872" t="s">
        <v>1694</v>
      </c>
      <c r="B23" s="314" t="s">
        <v>267</v>
      </c>
      <c r="C23" s="855">
        <v>2.4</v>
      </c>
      <c r="E23" s="848" t="b">
        <v>0</v>
      </c>
      <c r="F23" s="848" t="b">
        <v>0</v>
      </c>
      <c r="G23" s="848" t="b">
        <v>0</v>
      </c>
      <c r="H23" s="848" t="b">
        <v>0</v>
      </c>
      <c r="I23" s="848" t="b">
        <v>0</v>
      </c>
      <c r="J23" s="848" t="b">
        <v>0</v>
      </c>
      <c r="K23" s="848" t="b">
        <v>0</v>
      </c>
      <c r="L23" s="848" t="b">
        <v>0</v>
      </c>
      <c r="M23" s="848" t="b">
        <v>0</v>
      </c>
      <c r="N23" s="848" t="b">
        <v>0</v>
      </c>
      <c r="O23" s="848" t="b">
        <v>1</v>
      </c>
      <c r="P23" s="848" t="b">
        <v>0</v>
      </c>
      <c r="Q23" s="856" t="s">
        <v>1496</v>
      </c>
    </row>
    <row r="24" spans="1:17">
      <c r="A24" s="872" t="s">
        <v>1694</v>
      </c>
      <c r="B24" s="314" t="s">
        <v>268</v>
      </c>
      <c r="C24" s="855">
        <v>0.46765624999999994</v>
      </c>
      <c r="E24" s="848" t="b">
        <v>0</v>
      </c>
      <c r="F24" s="848" t="b">
        <v>0</v>
      </c>
      <c r="G24" s="848" t="b">
        <v>0</v>
      </c>
      <c r="H24" s="848" t="b">
        <v>0</v>
      </c>
      <c r="I24" s="848" t="b">
        <v>0</v>
      </c>
      <c r="J24" s="848" t="b">
        <v>0</v>
      </c>
      <c r="K24" s="848" t="b">
        <v>0</v>
      </c>
      <c r="L24" s="848" t="b">
        <v>0</v>
      </c>
      <c r="M24" s="848" t="b">
        <v>0</v>
      </c>
      <c r="N24" s="848" t="b">
        <v>0</v>
      </c>
      <c r="O24" s="848" t="b">
        <v>1</v>
      </c>
      <c r="P24" s="848" t="b">
        <v>0</v>
      </c>
      <c r="Q24" s="856" t="s">
        <v>1496</v>
      </c>
    </row>
    <row r="25" spans="1:17">
      <c r="A25" s="872" t="s">
        <v>1694</v>
      </c>
      <c r="B25" s="314" t="s">
        <v>270</v>
      </c>
      <c r="C25" s="855">
        <v>0.10265625</v>
      </c>
      <c r="E25" s="848" t="b">
        <v>0</v>
      </c>
      <c r="F25" s="848" t="b">
        <v>0</v>
      </c>
      <c r="G25" s="848" t="b">
        <v>0</v>
      </c>
      <c r="H25" s="848" t="b">
        <v>0</v>
      </c>
      <c r="I25" s="848" t="b">
        <v>0</v>
      </c>
      <c r="J25" s="848" t="b">
        <v>0</v>
      </c>
      <c r="K25" s="848" t="b">
        <v>0</v>
      </c>
      <c r="L25" s="848" t="b">
        <v>0</v>
      </c>
      <c r="M25" s="848" t="b">
        <v>0</v>
      </c>
      <c r="N25" s="848" t="b">
        <v>0</v>
      </c>
      <c r="O25" s="848" t="b">
        <v>1</v>
      </c>
      <c r="P25" s="848" t="b">
        <v>0</v>
      </c>
      <c r="Q25" s="856" t="s">
        <v>1496</v>
      </c>
    </row>
    <row r="26" spans="1:17">
      <c r="A26" s="872" t="s">
        <v>1694</v>
      </c>
      <c r="B26" s="314" t="s">
        <v>271</v>
      </c>
      <c r="C26" s="855">
        <v>1.008E-2</v>
      </c>
      <c r="E26" s="848" t="b">
        <v>0</v>
      </c>
      <c r="F26" s="848" t="b">
        <v>0</v>
      </c>
      <c r="G26" s="848" t="b">
        <v>0</v>
      </c>
      <c r="H26" s="848" t="b">
        <v>0</v>
      </c>
      <c r="I26" s="848" t="b">
        <v>0</v>
      </c>
      <c r="J26" s="848" t="b">
        <v>0</v>
      </c>
      <c r="K26" s="848" t="b">
        <v>0</v>
      </c>
      <c r="L26" s="848" t="b">
        <v>0</v>
      </c>
      <c r="M26" s="848" t="b">
        <v>0</v>
      </c>
      <c r="N26" s="848" t="b">
        <v>0</v>
      </c>
      <c r="O26" s="848" t="b">
        <v>1</v>
      </c>
      <c r="P26" s="848" t="b">
        <v>0</v>
      </c>
      <c r="Q26" s="856" t="s">
        <v>1496</v>
      </c>
    </row>
    <row r="27" spans="1:17">
      <c r="A27" s="872" t="s">
        <v>1694</v>
      </c>
      <c r="B27" s="314" t="s">
        <v>281</v>
      </c>
      <c r="C27" s="855">
        <v>165</v>
      </c>
      <c r="E27" s="848" t="b">
        <v>0</v>
      </c>
      <c r="F27" s="848" t="b">
        <v>0</v>
      </c>
      <c r="G27" s="848" t="b">
        <v>0</v>
      </c>
      <c r="H27" s="848" t="b">
        <v>0</v>
      </c>
      <c r="I27" s="848" t="b">
        <v>0</v>
      </c>
      <c r="J27" s="848" t="b">
        <v>0</v>
      </c>
      <c r="K27" s="848" t="b">
        <v>0</v>
      </c>
      <c r="L27" s="848" t="b">
        <v>0</v>
      </c>
      <c r="M27" s="848" t="b">
        <v>0</v>
      </c>
      <c r="N27" s="848" t="b">
        <v>0</v>
      </c>
      <c r="O27" s="848" t="b">
        <v>1</v>
      </c>
      <c r="P27" s="848" t="b">
        <v>0</v>
      </c>
      <c r="Q27" s="856" t="s">
        <v>1496</v>
      </c>
    </row>
    <row r="28" spans="1:17">
      <c r="A28" s="872" t="s">
        <v>1694</v>
      </c>
      <c r="B28" s="314" t="s">
        <v>282</v>
      </c>
      <c r="C28" s="855">
        <v>29</v>
      </c>
      <c r="E28" s="848" t="b">
        <v>0</v>
      </c>
      <c r="F28" s="848" t="b">
        <v>0</v>
      </c>
      <c r="G28" s="848" t="b">
        <v>0</v>
      </c>
      <c r="H28" s="848" t="b">
        <v>0</v>
      </c>
      <c r="I28" s="848" t="b">
        <v>0</v>
      </c>
      <c r="J28" s="848" t="b">
        <v>0</v>
      </c>
      <c r="K28" s="848" t="b">
        <v>0</v>
      </c>
      <c r="L28" s="848" t="b">
        <v>0</v>
      </c>
      <c r="M28" s="848" t="b">
        <v>0</v>
      </c>
      <c r="N28" s="848" t="b">
        <v>0</v>
      </c>
      <c r="O28" s="848" t="b">
        <v>1</v>
      </c>
      <c r="P28" s="848" t="b">
        <v>0</v>
      </c>
      <c r="Q28" s="856" t="s">
        <v>1496</v>
      </c>
    </row>
    <row r="29" spans="1:17">
      <c r="A29" s="872" t="s">
        <v>1694</v>
      </c>
      <c r="B29" s="314" t="s">
        <v>918</v>
      </c>
      <c r="C29" s="855">
        <v>54</v>
      </c>
      <c r="E29" s="848" t="b">
        <v>0</v>
      </c>
      <c r="F29" s="848" t="b">
        <v>0</v>
      </c>
      <c r="G29" s="848" t="b">
        <v>0</v>
      </c>
      <c r="H29" s="848" t="b">
        <v>0</v>
      </c>
      <c r="I29" s="848" t="b">
        <v>0</v>
      </c>
      <c r="J29" s="848" t="b">
        <v>0</v>
      </c>
      <c r="K29" s="848" t="b">
        <v>0</v>
      </c>
      <c r="L29" s="848" t="b">
        <v>0</v>
      </c>
      <c r="M29" s="848" t="b">
        <v>0</v>
      </c>
      <c r="N29" s="848" t="b">
        <v>0</v>
      </c>
      <c r="O29" s="848" t="b">
        <v>1</v>
      </c>
      <c r="P29" s="848" t="b">
        <v>0</v>
      </c>
      <c r="Q29" s="856" t="s">
        <v>1496</v>
      </c>
    </row>
    <row r="30" spans="1:17">
      <c r="A30" s="872" t="s">
        <v>1694</v>
      </c>
      <c r="B30" s="314" t="s">
        <v>919</v>
      </c>
      <c r="C30" s="855">
        <v>9.49</v>
      </c>
      <c r="E30" s="848" t="b">
        <v>0</v>
      </c>
      <c r="F30" s="848" t="b">
        <v>0</v>
      </c>
      <c r="G30" s="848" t="b">
        <v>0</v>
      </c>
      <c r="H30" s="848" t="b">
        <v>0</v>
      </c>
      <c r="I30" s="848" t="b">
        <v>0</v>
      </c>
      <c r="J30" s="848" t="b">
        <v>0</v>
      </c>
      <c r="K30" s="848" t="b">
        <v>0</v>
      </c>
      <c r="L30" s="848" t="b">
        <v>0</v>
      </c>
      <c r="M30" s="848" t="b">
        <v>0</v>
      </c>
      <c r="N30" s="848" t="b">
        <v>0</v>
      </c>
      <c r="O30" s="848" t="b">
        <v>1</v>
      </c>
      <c r="P30" s="848" t="b">
        <v>0</v>
      </c>
      <c r="Q30" s="856" t="s">
        <v>1496</v>
      </c>
    </row>
    <row r="31" spans="1:17">
      <c r="A31" s="872" t="s">
        <v>1694</v>
      </c>
      <c r="B31" s="314" t="s">
        <v>923</v>
      </c>
      <c r="C31" s="855">
        <v>47</v>
      </c>
      <c r="E31" s="848" t="b">
        <v>0</v>
      </c>
      <c r="F31" s="848" t="b">
        <v>0</v>
      </c>
      <c r="G31" s="848" t="b">
        <v>0</v>
      </c>
      <c r="H31" s="848" t="b">
        <v>0</v>
      </c>
      <c r="I31" s="848" t="b">
        <v>0</v>
      </c>
      <c r="J31" s="848" t="b">
        <v>0</v>
      </c>
      <c r="K31" s="848" t="b">
        <v>0</v>
      </c>
      <c r="L31" s="848" t="b">
        <v>0</v>
      </c>
      <c r="M31" s="848" t="b">
        <v>0</v>
      </c>
      <c r="N31" s="848" t="b">
        <v>0</v>
      </c>
      <c r="O31" s="848" t="b">
        <v>1</v>
      </c>
      <c r="P31" s="848" t="b">
        <v>0</v>
      </c>
      <c r="Q31" s="856" t="s">
        <v>1496</v>
      </c>
    </row>
    <row r="32" spans="1:17">
      <c r="A32" s="872" t="s">
        <v>1694</v>
      </c>
      <c r="B32" s="314" t="s">
        <v>925</v>
      </c>
      <c r="C32" s="855">
        <v>13.428571428571429</v>
      </c>
      <c r="E32" s="848" t="b">
        <v>0</v>
      </c>
      <c r="F32" s="848" t="b">
        <v>0</v>
      </c>
      <c r="G32" s="848" t="b">
        <v>0</v>
      </c>
      <c r="H32" s="848" t="b">
        <v>0</v>
      </c>
      <c r="I32" s="848" t="b">
        <v>0</v>
      </c>
      <c r="J32" s="848" t="b">
        <v>0</v>
      </c>
      <c r="K32" s="848" t="b">
        <v>0</v>
      </c>
      <c r="L32" s="848" t="b">
        <v>0</v>
      </c>
      <c r="M32" s="848" t="b">
        <v>0</v>
      </c>
      <c r="N32" s="848" t="b">
        <v>0</v>
      </c>
      <c r="O32" s="848" t="b">
        <v>1</v>
      </c>
      <c r="P32" s="848" t="b">
        <v>0</v>
      </c>
      <c r="Q32" s="856" t="s">
        <v>1496</v>
      </c>
    </row>
    <row r="33" spans="1:17">
      <c r="A33" s="872" t="s">
        <v>1694</v>
      </c>
      <c r="B33" s="314" t="s">
        <v>926</v>
      </c>
      <c r="C33" s="855">
        <v>0.2</v>
      </c>
      <c r="E33" s="848" t="b">
        <v>0</v>
      </c>
      <c r="F33" s="848" t="b">
        <v>0</v>
      </c>
      <c r="G33" s="848" t="b">
        <v>0</v>
      </c>
      <c r="H33" s="848" t="b">
        <v>0</v>
      </c>
      <c r="I33" s="848" t="b">
        <v>0</v>
      </c>
      <c r="J33" s="848" t="b">
        <v>0</v>
      </c>
      <c r="K33" s="848" t="b">
        <v>0</v>
      </c>
      <c r="L33" s="848" t="b">
        <v>0</v>
      </c>
      <c r="M33" s="848" t="b">
        <v>0</v>
      </c>
      <c r="N33" s="848" t="b">
        <v>0</v>
      </c>
      <c r="O33" s="848" t="b">
        <v>1</v>
      </c>
      <c r="P33" s="848" t="b">
        <v>0</v>
      </c>
      <c r="Q33" s="856" t="s">
        <v>1496</v>
      </c>
    </row>
    <row r="34" spans="1:17">
      <c r="A34" s="872" t="s">
        <v>1694</v>
      </c>
      <c r="B34" s="314" t="s">
        <v>921</v>
      </c>
      <c r="C34" s="855">
        <v>0.95</v>
      </c>
      <c r="E34" s="848" t="b">
        <v>0</v>
      </c>
      <c r="F34" s="848" t="b">
        <v>0</v>
      </c>
      <c r="G34" s="848" t="b">
        <v>0</v>
      </c>
      <c r="H34" s="848" t="b">
        <v>0</v>
      </c>
      <c r="I34" s="848" t="b">
        <v>0</v>
      </c>
      <c r="J34" s="848" t="b">
        <v>0</v>
      </c>
      <c r="K34" s="848" t="b">
        <v>0</v>
      </c>
      <c r="L34" s="848" t="b">
        <v>0</v>
      </c>
      <c r="M34" s="848" t="b">
        <v>0</v>
      </c>
      <c r="N34" s="848" t="b">
        <v>0</v>
      </c>
      <c r="O34" s="848" t="b">
        <v>1</v>
      </c>
      <c r="P34" s="848" t="b">
        <v>0</v>
      </c>
      <c r="Q34" s="856" t="s">
        <v>1496</v>
      </c>
    </row>
    <row r="35" spans="1:17">
      <c r="A35" s="872" t="s">
        <v>1694</v>
      </c>
      <c r="B35" s="314" t="s">
        <v>922</v>
      </c>
      <c r="C35" s="855">
        <v>10</v>
      </c>
      <c r="E35" s="848" t="b">
        <v>0</v>
      </c>
      <c r="F35" s="848" t="b">
        <v>0</v>
      </c>
      <c r="G35" s="848" t="b">
        <v>0</v>
      </c>
      <c r="H35" s="848" t="b">
        <v>0</v>
      </c>
      <c r="I35" s="848" t="b">
        <v>0</v>
      </c>
      <c r="J35" s="848" t="b">
        <v>0</v>
      </c>
      <c r="K35" s="848" t="b">
        <v>0</v>
      </c>
      <c r="L35" s="848" t="b">
        <v>0</v>
      </c>
      <c r="M35" s="848" t="b">
        <v>0</v>
      </c>
      <c r="N35" s="848" t="b">
        <v>0</v>
      </c>
      <c r="O35" s="848" t="b">
        <v>1</v>
      </c>
      <c r="P35" s="848" t="b">
        <v>0</v>
      </c>
      <c r="Q35" s="856" t="s">
        <v>1496</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10"/>
  <sheetViews>
    <sheetView zoomScale="70" zoomScaleNormal="70" workbookViewId="0">
      <selection activeCell="A11" sqref="A11:XFD17"/>
    </sheetView>
  </sheetViews>
  <sheetFormatPr defaultRowHeight="19.5"/>
  <cols>
    <col min="1" max="1" width="24.5" style="867" customWidth="1"/>
    <col min="2" max="2" width="23" style="857" customWidth="1"/>
    <col min="3" max="3" width="20.125" style="858" customWidth="1"/>
    <col min="4" max="4" width="9" style="848"/>
    <col min="5" max="16" width="9" style="848" hidden="1" customWidth="1"/>
    <col min="17" max="16384" width="9" style="848"/>
  </cols>
  <sheetData>
    <row r="1" spans="1:17" ht="71.45" customHeight="1">
      <c r="A1" s="863" t="s">
        <v>316</v>
      </c>
      <c r="B1" s="846"/>
      <c r="C1" s="847"/>
    </row>
    <row r="2" spans="1:17" s="851" customFormat="1" ht="18.75">
      <c r="A2" s="866" t="s">
        <v>317</v>
      </c>
      <c r="B2" s="849" t="s">
        <v>318</v>
      </c>
      <c r="C2" s="850" t="s">
        <v>338</v>
      </c>
      <c r="E2" s="852">
        <v>1</v>
      </c>
      <c r="F2" s="852" t="s">
        <v>828</v>
      </c>
      <c r="G2" s="852">
        <v>2</v>
      </c>
      <c r="H2" s="852" t="s">
        <v>828</v>
      </c>
      <c r="I2" s="852">
        <v>3</v>
      </c>
      <c r="J2" s="852" t="s">
        <v>828</v>
      </c>
      <c r="K2" s="852">
        <v>4</v>
      </c>
      <c r="L2" s="852" t="s">
        <v>828</v>
      </c>
      <c r="M2" s="852">
        <v>5</v>
      </c>
      <c r="N2" s="852" t="s">
        <v>828</v>
      </c>
      <c r="O2" s="852">
        <v>6</v>
      </c>
      <c r="P2" s="852" t="s">
        <v>828</v>
      </c>
      <c r="Q2" s="853">
        <v>6</v>
      </c>
    </row>
    <row r="3" spans="1:17" s="851" customFormat="1" ht="18.75">
      <c r="A3" s="866" t="s">
        <v>341</v>
      </c>
      <c r="B3" s="849" t="s">
        <v>342</v>
      </c>
      <c r="C3" s="850" t="s">
        <v>353</v>
      </c>
      <c r="Q3" s="860"/>
    </row>
    <row r="4" spans="1:17" ht="24" customHeight="1">
      <c r="A4" s="872" t="s">
        <v>1695</v>
      </c>
      <c r="B4" s="314" t="s">
        <v>918</v>
      </c>
      <c r="C4" s="855">
        <v>38</v>
      </c>
      <c r="E4" s="848" t="b">
        <v>0</v>
      </c>
      <c r="F4" s="848" t="b">
        <v>0</v>
      </c>
      <c r="G4" s="848" t="b">
        <v>0</v>
      </c>
      <c r="H4" s="848" t="b">
        <v>0</v>
      </c>
      <c r="I4" s="848" t="b">
        <v>0</v>
      </c>
      <c r="J4" s="848" t="b">
        <v>0</v>
      </c>
      <c r="K4" s="848" t="b">
        <v>0</v>
      </c>
      <c r="L4" s="848" t="b">
        <v>0</v>
      </c>
      <c r="M4" s="848" t="b">
        <v>0</v>
      </c>
      <c r="N4" s="848" t="b">
        <v>0</v>
      </c>
      <c r="O4" s="848" t="b">
        <v>1</v>
      </c>
      <c r="P4" s="848" t="b">
        <v>0</v>
      </c>
      <c r="Q4" s="856" t="s">
        <v>1496</v>
      </c>
    </row>
    <row r="5" spans="1:17" ht="24" customHeight="1">
      <c r="A5" s="872" t="s">
        <v>1695</v>
      </c>
      <c r="B5" s="314" t="s">
        <v>919</v>
      </c>
      <c r="C5" s="855">
        <v>8.76</v>
      </c>
      <c r="E5" s="848" t="b">
        <v>0</v>
      </c>
      <c r="F5" s="848" t="b">
        <v>0</v>
      </c>
      <c r="G5" s="848" t="b">
        <v>0</v>
      </c>
      <c r="H5" s="848" t="b">
        <v>0</v>
      </c>
      <c r="I5" s="848" t="b">
        <v>0</v>
      </c>
      <c r="J5" s="848" t="b">
        <v>0</v>
      </c>
      <c r="K5" s="848" t="b">
        <v>0</v>
      </c>
      <c r="L5" s="848" t="b">
        <v>0</v>
      </c>
      <c r="M5" s="848" t="b">
        <v>0</v>
      </c>
      <c r="N5" s="848" t="b">
        <v>0</v>
      </c>
      <c r="O5" s="848" t="b">
        <v>1</v>
      </c>
      <c r="P5" s="848" t="b">
        <v>0</v>
      </c>
      <c r="Q5" s="856" t="s">
        <v>1496</v>
      </c>
    </row>
    <row r="6" spans="1:17" ht="24" customHeight="1">
      <c r="A6" s="872" t="s">
        <v>1695</v>
      </c>
      <c r="B6" s="314" t="s">
        <v>923</v>
      </c>
      <c r="C6" s="855">
        <v>44</v>
      </c>
      <c r="E6" s="848" t="b">
        <v>0</v>
      </c>
      <c r="F6" s="848" t="b">
        <v>0</v>
      </c>
      <c r="G6" s="848" t="b">
        <v>0</v>
      </c>
      <c r="H6" s="848" t="b">
        <v>0</v>
      </c>
      <c r="I6" s="848" t="b">
        <v>0</v>
      </c>
      <c r="J6" s="848" t="b">
        <v>0</v>
      </c>
      <c r="K6" s="848" t="b">
        <v>0</v>
      </c>
      <c r="L6" s="848" t="b">
        <v>0</v>
      </c>
      <c r="M6" s="848" t="b">
        <v>0</v>
      </c>
      <c r="N6" s="848" t="b">
        <v>0</v>
      </c>
      <c r="O6" s="848" t="b">
        <v>1</v>
      </c>
      <c r="P6" s="848" t="b">
        <v>0</v>
      </c>
      <c r="Q6" s="856" t="s">
        <v>1496</v>
      </c>
    </row>
    <row r="7" spans="1:17" ht="24" customHeight="1">
      <c r="A7" s="872" t="s">
        <v>1695</v>
      </c>
      <c r="B7" s="314" t="s">
        <v>925</v>
      </c>
      <c r="C7" s="855">
        <v>11</v>
      </c>
      <c r="E7" s="848" t="b">
        <v>0</v>
      </c>
      <c r="F7" s="848" t="b">
        <v>0</v>
      </c>
      <c r="G7" s="848" t="b">
        <v>0</v>
      </c>
      <c r="H7" s="848" t="b">
        <v>0</v>
      </c>
      <c r="I7" s="848" t="b">
        <v>0</v>
      </c>
      <c r="J7" s="848" t="b">
        <v>0</v>
      </c>
      <c r="K7" s="848" t="b">
        <v>0</v>
      </c>
      <c r="L7" s="848" t="b">
        <v>0</v>
      </c>
      <c r="M7" s="848" t="b">
        <v>0</v>
      </c>
      <c r="N7" s="848" t="b">
        <v>0</v>
      </c>
      <c r="O7" s="848" t="b">
        <v>1</v>
      </c>
      <c r="P7" s="848" t="b">
        <v>0</v>
      </c>
      <c r="Q7" s="856" t="s">
        <v>1496</v>
      </c>
    </row>
    <row r="8" spans="1:17" ht="24" customHeight="1">
      <c r="A8" s="872" t="s">
        <v>1695</v>
      </c>
      <c r="B8" s="314" t="s">
        <v>926</v>
      </c>
      <c r="C8" s="855">
        <v>0.18</v>
      </c>
      <c r="E8" s="848" t="b">
        <v>0</v>
      </c>
      <c r="F8" s="848" t="b">
        <v>0</v>
      </c>
      <c r="G8" s="848" t="b">
        <v>0</v>
      </c>
      <c r="H8" s="848" t="b">
        <v>0</v>
      </c>
      <c r="I8" s="848" t="b">
        <v>0</v>
      </c>
      <c r="J8" s="848" t="b">
        <v>0</v>
      </c>
      <c r="K8" s="848" t="b">
        <v>0</v>
      </c>
      <c r="L8" s="848" t="b">
        <v>0</v>
      </c>
      <c r="M8" s="848" t="b">
        <v>0</v>
      </c>
      <c r="N8" s="848" t="b">
        <v>0</v>
      </c>
      <c r="O8" s="848" t="b">
        <v>1</v>
      </c>
      <c r="P8" s="848" t="b">
        <v>0</v>
      </c>
      <c r="Q8" s="856" t="s">
        <v>1496</v>
      </c>
    </row>
    <row r="9" spans="1:17" ht="24" customHeight="1">
      <c r="A9" s="872" t="s">
        <v>1695</v>
      </c>
      <c r="B9" s="314" t="s">
        <v>921</v>
      </c>
      <c r="C9" s="855">
        <v>0.95</v>
      </c>
      <c r="E9" s="848" t="b">
        <v>0</v>
      </c>
      <c r="F9" s="848" t="b">
        <v>0</v>
      </c>
      <c r="G9" s="848" t="b">
        <v>0</v>
      </c>
      <c r="H9" s="848" t="b">
        <v>0</v>
      </c>
      <c r="I9" s="848" t="b">
        <v>0</v>
      </c>
      <c r="J9" s="848" t="b">
        <v>0</v>
      </c>
      <c r="K9" s="848" t="b">
        <v>0</v>
      </c>
      <c r="L9" s="848" t="b">
        <v>0</v>
      </c>
      <c r="M9" s="848" t="b">
        <v>0</v>
      </c>
      <c r="N9" s="848" t="b">
        <v>0</v>
      </c>
      <c r="O9" s="848" t="b">
        <v>1</v>
      </c>
      <c r="P9" s="848" t="b">
        <v>0</v>
      </c>
      <c r="Q9" s="856" t="s">
        <v>1496</v>
      </c>
    </row>
    <row r="10" spans="1:17" ht="24" customHeight="1">
      <c r="A10" s="872" t="s">
        <v>1695</v>
      </c>
      <c r="B10" s="314" t="s">
        <v>922</v>
      </c>
      <c r="C10" s="855">
        <v>10</v>
      </c>
      <c r="E10" s="848" t="b">
        <v>0</v>
      </c>
      <c r="F10" s="848" t="b">
        <v>0</v>
      </c>
      <c r="G10" s="848" t="b">
        <v>0</v>
      </c>
      <c r="H10" s="848" t="b">
        <v>0</v>
      </c>
      <c r="I10" s="848" t="b">
        <v>0</v>
      </c>
      <c r="J10" s="848" t="b">
        <v>0</v>
      </c>
      <c r="K10" s="848" t="b">
        <v>0</v>
      </c>
      <c r="L10" s="848" t="b">
        <v>0</v>
      </c>
      <c r="M10" s="848" t="b">
        <v>0</v>
      </c>
      <c r="N10" s="848" t="b">
        <v>0</v>
      </c>
      <c r="O10" s="848" t="b">
        <v>1</v>
      </c>
      <c r="P10" s="848" t="b">
        <v>0</v>
      </c>
      <c r="Q10" s="856" t="s">
        <v>1496</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6"/>
  <sheetViews>
    <sheetView zoomScale="85" zoomScaleNormal="85" workbookViewId="0">
      <selection activeCell="F36" sqref="F36:H37"/>
    </sheetView>
  </sheetViews>
  <sheetFormatPr defaultColWidth="6.25" defaultRowHeight="15.75"/>
  <cols>
    <col min="1" max="1" width="2.375" style="316" customWidth="1"/>
    <col min="2" max="2" width="6.375" style="316" customWidth="1"/>
    <col min="3" max="3" width="5.5" style="316" customWidth="1"/>
    <col min="4" max="4" width="5.75" style="316" customWidth="1"/>
    <col min="5" max="5" width="2.625" style="316" customWidth="1"/>
    <col min="6" max="8" width="5" style="316" customWidth="1"/>
    <col min="9" max="9" width="2.25" style="316" customWidth="1"/>
    <col min="10" max="12" width="5.125" style="316" customWidth="1"/>
    <col min="13" max="13" width="2.5" style="316" customWidth="1"/>
    <col min="14" max="16" width="4.75" style="316" customWidth="1"/>
    <col min="17" max="17" width="2.625" style="316" customWidth="1"/>
    <col min="18" max="18" width="4.375" style="756" customWidth="1"/>
    <col min="19" max="19" width="3.75" style="756" customWidth="1"/>
    <col min="20" max="20" width="5.375" style="756" customWidth="1"/>
    <col min="21" max="21" width="3.25" style="316" customWidth="1"/>
    <col min="22" max="22" width="4.875" style="316" customWidth="1"/>
    <col min="23" max="23" width="4.125" style="316" customWidth="1"/>
    <col min="24" max="24" width="2.75" style="316" customWidth="1"/>
    <col min="25" max="25" width="14.25" style="316" customWidth="1"/>
    <col min="26" max="26" width="3.375" style="316" customWidth="1"/>
    <col min="27" max="27" width="14.125" style="316" customWidth="1"/>
    <col min="28" max="28" width="2.375" style="316" customWidth="1"/>
    <col min="29" max="29" width="5.75" style="316" customWidth="1"/>
    <col min="30" max="16384" width="6.25" style="316"/>
  </cols>
  <sheetData>
    <row r="1" spans="2:35" ht="6.75" customHeight="1"/>
    <row r="2" spans="2:35" ht="4.5" customHeight="1" thickBot="1">
      <c r="U2" s="842"/>
      <c r="V2" s="842"/>
      <c r="W2" s="842"/>
      <c r="X2" s="842"/>
      <c r="Y2" s="842"/>
      <c r="Z2" s="842"/>
      <c r="AA2" s="842"/>
      <c r="AB2" s="842"/>
      <c r="AC2" s="842"/>
      <c r="AD2" s="842"/>
      <c r="AE2" s="842"/>
    </row>
    <row r="3" spans="2:35" ht="15" customHeight="1">
      <c r="B3" s="2959" t="s">
        <v>354</v>
      </c>
      <c r="C3" s="2960"/>
      <c r="D3" s="2960"/>
      <c r="E3" s="2960"/>
      <c r="F3" s="2960"/>
      <c r="G3" s="2960"/>
      <c r="H3" s="2995"/>
      <c r="I3" s="317"/>
      <c r="J3" s="2959" t="s">
        <v>355</v>
      </c>
      <c r="K3" s="2960"/>
      <c r="L3" s="2960"/>
      <c r="M3" s="2960"/>
      <c r="N3" s="2960"/>
      <c r="O3" s="2960"/>
      <c r="P3" s="2995"/>
      <c r="Q3" s="317"/>
      <c r="R3" s="2959" t="s">
        <v>356</v>
      </c>
      <c r="S3" s="2960"/>
      <c r="T3" s="2961"/>
      <c r="U3" s="842"/>
      <c r="V3" s="2998" t="s">
        <v>866</v>
      </c>
      <c r="W3" s="2999"/>
      <c r="X3" s="2999"/>
      <c r="Y3" s="3000"/>
      <c r="Z3" s="886"/>
      <c r="AA3" s="2956" t="s">
        <v>875</v>
      </c>
      <c r="AB3" s="842"/>
      <c r="AC3" s="842"/>
      <c r="AD3" s="842"/>
      <c r="AE3" s="1904" t="s">
        <v>125</v>
      </c>
      <c r="AF3" s="1904" t="s">
        <v>1457</v>
      </c>
    </row>
    <row r="4" spans="2:35" ht="15" customHeight="1">
      <c r="B4" s="2962"/>
      <c r="C4" s="2963"/>
      <c r="D4" s="2963"/>
      <c r="E4" s="2963"/>
      <c r="F4" s="2963"/>
      <c r="G4" s="2963"/>
      <c r="H4" s="2996"/>
      <c r="I4" s="317"/>
      <c r="J4" s="2962"/>
      <c r="K4" s="2963"/>
      <c r="L4" s="2963"/>
      <c r="M4" s="2963"/>
      <c r="N4" s="2963"/>
      <c r="O4" s="2963"/>
      <c r="P4" s="2996"/>
      <c r="Q4" s="317"/>
      <c r="R4" s="2962"/>
      <c r="S4" s="2963"/>
      <c r="T4" s="2964"/>
      <c r="U4" s="842"/>
      <c r="V4" s="3001"/>
      <c r="W4" s="3002"/>
      <c r="X4" s="3002"/>
      <c r="Y4" s="3003"/>
      <c r="Z4" s="886"/>
      <c r="AA4" s="2957"/>
      <c r="AB4" s="842"/>
      <c r="AC4" s="842"/>
      <c r="AD4" s="842"/>
      <c r="AE4" s="1904" t="s">
        <v>1457</v>
      </c>
      <c r="AF4" s="1904" t="s">
        <v>125</v>
      </c>
    </row>
    <row r="5" spans="2:35" ht="15" customHeight="1" thickBot="1">
      <c r="B5" s="756"/>
      <c r="C5" s="756"/>
      <c r="D5" s="756"/>
      <c r="E5" s="756"/>
      <c r="F5" s="756"/>
      <c r="G5" s="756"/>
      <c r="H5" s="756"/>
      <c r="I5" s="756"/>
      <c r="J5" s="756"/>
      <c r="K5" s="756"/>
      <c r="L5" s="756"/>
      <c r="M5" s="756"/>
      <c r="N5" s="756"/>
      <c r="O5" s="756"/>
      <c r="P5" s="756"/>
      <c r="Q5" s="756"/>
      <c r="U5" s="756"/>
      <c r="V5" s="756"/>
      <c r="W5" s="756"/>
      <c r="X5" s="756"/>
      <c r="Y5" s="756"/>
      <c r="Z5" s="883"/>
      <c r="AA5" s="756"/>
      <c r="AB5" s="756"/>
      <c r="AC5" s="756"/>
      <c r="AD5" s="756"/>
      <c r="AE5" s="756"/>
      <c r="AF5" s="756"/>
      <c r="AG5" s="756"/>
    </row>
    <row r="6" spans="2:35" ht="15" customHeight="1">
      <c r="B6" s="2971" t="s">
        <v>817</v>
      </c>
      <c r="C6" s="2972"/>
      <c r="D6" s="2973"/>
      <c r="E6" s="756"/>
      <c r="F6" s="2977" t="s">
        <v>820</v>
      </c>
      <c r="G6" s="2978"/>
      <c r="H6" s="2979"/>
      <c r="I6" s="756"/>
      <c r="J6" s="2983" t="s">
        <v>821</v>
      </c>
      <c r="K6" s="2984"/>
      <c r="L6" s="2985"/>
      <c r="M6" s="756"/>
      <c r="N6" s="2989" t="s">
        <v>808</v>
      </c>
      <c r="O6" s="2990"/>
      <c r="P6" s="2991"/>
      <c r="Q6" s="756"/>
      <c r="R6" s="2926" t="s">
        <v>807</v>
      </c>
      <c r="S6" s="2927"/>
      <c r="T6" s="2928"/>
      <c r="U6" s="840"/>
      <c r="V6" s="3004" t="s">
        <v>867</v>
      </c>
      <c r="W6" s="3005"/>
      <c r="X6" s="861"/>
      <c r="Y6" s="2997">
        <f>AD9+TIME(9,45,0)</f>
        <v>45505.40625</v>
      </c>
      <c r="Z6" s="883"/>
      <c r="AA6" s="2958" t="s">
        <v>1458</v>
      </c>
      <c r="AB6" s="756"/>
      <c r="AC6" s="756"/>
      <c r="AD6" s="1904" t="s">
        <v>785</v>
      </c>
      <c r="AE6" s="1904" t="s">
        <v>125</v>
      </c>
      <c r="AF6" s="756"/>
      <c r="AG6" s="756"/>
    </row>
    <row r="7" spans="2:35" ht="15" customHeight="1">
      <c r="B7" s="2974"/>
      <c r="C7" s="2975"/>
      <c r="D7" s="2976"/>
      <c r="E7" s="756"/>
      <c r="F7" s="2980"/>
      <c r="G7" s="2981"/>
      <c r="H7" s="2982"/>
      <c r="I7" s="756"/>
      <c r="J7" s="2986"/>
      <c r="K7" s="2987"/>
      <c r="L7" s="2988"/>
      <c r="M7" s="756"/>
      <c r="N7" s="2992"/>
      <c r="O7" s="2993"/>
      <c r="P7" s="2994"/>
      <c r="Q7" s="756"/>
      <c r="R7" s="2929"/>
      <c r="S7" s="2930"/>
      <c r="T7" s="2931"/>
      <c r="U7" s="840"/>
      <c r="V7" s="3006"/>
      <c r="W7" s="3007"/>
      <c r="X7" s="861"/>
      <c r="Y7" s="2957"/>
      <c r="Z7" s="883"/>
      <c r="AA7" s="2957"/>
      <c r="AB7" s="756"/>
      <c r="AC7" s="756"/>
      <c r="AD7" s="1904" t="s">
        <v>786</v>
      </c>
      <c r="AE7" s="1904" t="s">
        <v>1457</v>
      </c>
      <c r="AF7" s="756"/>
      <c r="AG7" s="756"/>
    </row>
    <row r="8" spans="2:35" ht="15" customHeight="1" thickBot="1">
      <c r="B8" s="756"/>
      <c r="C8" s="756"/>
      <c r="D8" s="756"/>
      <c r="E8" s="756"/>
      <c r="F8" s="756"/>
      <c r="G8" s="756"/>
      <c r="H8" s="756"/>
      <c r="I8" s="756"/>
      <c r="J8" s="756"/>
      <c r="K8" s="756"/>
      <c r="L8" s="756"/>
      <c r="M8" s="756"/>
      <c r="N8" s="756"/>
      <c r="O8" s="756"/>
      <c r="P8" s="756"/>
      <c r="Q8" s="756"/>
      <c r="U8" s="756"/>
      <c r="V8" s="864"/>
      <c r="W8" s="864"/>
      <c r="X8" s="317"/>
      <c r="Y8" s="317"/>
      <c r="Z8" s="883"/>
      <c r="AA8" s="317"/>
      <c r="AB8" s="756"/>
      <c r="AC8" s="756"/>
      <c r="AD8" s="756"/>
      <c r="AE8" s="756"/>
      <c r="AF8" s="756"/>
      <c r="AG8" s="756"/>
    </row>
    <row r="9" spans="2:35" ht="15" customHeight="1" thickTop="1">
      <c r="B9" s="2965" t="s">
        <v>826</v>
      </c>
      <c r="C9" s="2966"/>
      <c r="D9" s="2967"/>
      <c r="E9" s="756"/>
      <c r="F9" s="3008" t="s">
        <v>1351</v>
      </c>
      <c r="G9" s="3009"/>
      <c r="H9" s="3010"/>
      <c r="I9" s="756"/>
      <c r="J9" s="3059" t="s">
        <v>814</v>
      </c>
      <c r="K9" s="2984"/>
      <c r="L9" s="2985"/>
      <c r="M9" s="756"/>
      <c r="N9" s="3060" t="s">
        <v>809</v>
      </c>
      <c r="O9" s="3061"/>
      <c r="P9" s="3062"/>
      <c r="Q9" s="756"/>
      <c r="R9" s="2926" t="s">
        <v>805</v>
      </c>
      <c r="S9" s="2927"/>
      <c r="T9" s="2928"/>
      <c r="U9" s="840"/>
      <c r="V9" s="3004" t="s">
        <v>868</v>
      </c>
      <c r="W9" s="3005"/>
      <c r="X9" s="861"/>
      <c r="Y9" s="2997">
        <f>AD9+TIME(11,45,0)</f>
        <v>45505.489583333336</v>
      </c>
      <c r="Z9" s="883"/>
      <c r="AA9" s="2958" t="s">
        <v>1459</v>
      </c>
      <c r="AB9" s="756"/>
      <c r="AC9" s="3041" t="s">
        <v>1696</v>
      </c>
      <c r="AD9" s="3055" t="s">
        <v>1674</v>
      </c>
      <c r="AE9" s="3056"/>
      <c r="AF9" s="3043" t="s">
        <v>1483</v>
      </c>
      <c r="AG9" s="3044"/>
      <c r="AH9" s="3044"/>
      <c r="AI9" s="3044"/>
    </row>
    <row r="10" spans="2:35" ht="15" customHeight="1">
      <c r="B10" s="2968"/>
      <c r="C10" s="2969"/>
      <c r="D10" s="2970"/>
      <c r="E10" s="756"/>
      <c r="F10" s="3011"/>
      <c r="G10" s="3012"/>
      <c r="H10" s="3013"/>
      <c r="I10" s="756"/>
      <c r="J10" s="2986"/>
      <c r="K10" s="2987"/>
      <c r="L10" s="2988"/>
      <c r="M10" s="756"/>
      <c r="N10" s="3063"/>
      <c r="O10" s="3064"/>
      <c r="P10" s="3065"/>
      <c r="Q10" s="756"/>
      <c r="R10" s="2929"/>
      <c r="S10" s="2930"/>
      <c r="T10" s="2931"/>
      <c r="U10" s="840"/>
      <c r="V10" s="3006"/>
      <c r="W10" s="3007"/>
      <c r="X10" s="861"/>
      <c r="Y10" s="2957"/>
      <c r="Z10" s="883"/>
      <c r="AA10" s="2957"/>
      <c r="AB10" s="756"/>
      <c r="AC10" s="3042"/>
      <c r="AD10" s="3057"/>
      <c r="AE10" s="3058"/>
      <c r="AF10" s="3043"/>
      <c r="AG10" s="3044"/>
      <c r="AH10" s="3044"/>
      <c r="AI10" s="3044"/>
    </row>
    <row r="11" spans="2:35" ht="15" customHeight="1" thickBot="1">
      <c r="B11" s="756"/>
      <c r="C11" s="756"/>
      <c r="D11" s="756"/>
      <c r="E11" s="756"/>
      <c r="F11" s="1502"/>
      <c r="G11" s="1502"/>
      <c r="H11" s="1502"/>
      <c r="I11" s="756"/>
      <c r="J11" s="756"/>
      <c r="K11" s="756"/>
      <c r="L11" s="756"/>
      <c r="M11" s="756"/>
      <c r="N11" s="756"/>
      <c r="O11" s="756"/>
      <c r="P11" s="756"/>
      <c r="Q11" s="756"/>
      <c r="U11" s="756"/>
      <c r="V11" s="864"/>
      <c r="W11" s="864"/>
      <c r="X11" s="317"/>
      <c r="Y11" s="317"/>
      <c r="Z11" s="883"/>
      <c r="AA11" s="317"/>
      <c r="AB11" s="756"/>
      <c r="AC11" s="756"/>
      <c r="AD11" s="756"/>
      <c r="AE11" s="756"/>
      <c r="AF11" s="756"/>
      <c r="AG11" s="756"/>
    </row>
    <row r="12" spans="2:35" ht="15" customHeight="1">
      <c r="B12" s="3033" t="s">
        <v>819</v>
      </c>
      <c r="C12" s="3034"/>
      <c r="D12" s="3035"/>
      <c r="E12" s="756"/>
      <c r="F12" s="2950" t="s">
        <v>1344</v>
      </c>
      <c r="G12" s="2951"/>
      <c r="H12" s="2952"/>
      <c r="I12" s="756"/>
      <c r="J12" s="3066" t="s">
        <v>822</v>
      </c>
      <c r="K12" s="3067"/>
      <c r="L12" s="3068"/>
      <c r="M12" s="756"/>
      <c r="N12" s="2938" t="s">
        <v>810</v>
      </c>
      <c r="O12" s="2939"/>
      <c r="P12" s="2940"/>
      <c r="Q12" s="756"/>
      <c r="R12" s="2926" t="s">
        <v>806</v>
      </c>
      <c r="S12" s="2927"/>
      <c r="T12" s="2928"/>
      <c r="U12" s="841"/>
      <c r="V12" s="3004" t="s">
        <v>869</v>
      </c>
      <c r="W12" s="3005"/>
      <c r="X12" s="861"/>
      <c r="Y12" s="2997">
        <f>AD9+TIME(16,30,0)</f>
        <v>45505.6875</v>
      </c>
      <c r="Z12" s="883"/>
      <c r="AA12" s="2958" t="s">
        <v>1460</v>
      </c>
      <c r="AB12" s="756"/>
      <c r="AC12" s="756"/>
      <c r="AD12" s="3051" t="s">
        <v>847</v>
      </c>
      <c r="AE12" s="3052"/>
      <c r="AF12" s="756"/>
      <c r="AG12" s="756"/>
    </row>
    <row r="13" spans="2:35" ht="15" customHeight="1">
      <c r="B13" s="3036"/>
      <c r="C13" s="3037"/>
      <c r="D13" s="3038"/>
      <c r="E13" s="756"/>
      <c r="F13" s="2953"/>
      <c r="G13" s="2954"/>
      <c r="H13" s="2955"/>
      <c r="I13" s="756"/>
      <c r="J13" s="3069"/>
      <c r="K13" s="3070"/>
      <c r="L13" s="3071"/>
      <c r="M13" s="756"/>
      <c r="N13" s="2941"/>
      <c r="O13" s="2942"/>
      <c r="P13" s="2943"/>
      <c r="Q13" s="756"/>
      <c r="R13" s="2929"/>
      <c r="S13" s="2930"/>
      <c r="T13" s="2931"/>
      <c r="U13" s="841"/>
      <c r="V13" s="3006"/>
      <c r="W13" s="3007"/>
      <c r="X13" s="861"/>
      <c r="Y13" s="2957"/>
      <c r="Z13" s="885"/>
      <c r="AA13" s="2957"/>
      <c r="AB13" s="756"/>
      <c r="AC13" s="756"/>
      <c r="AD13" s="3053"/>
      <c r="AE13" s="3054"/>
      <c r="AF13" s="756"/>
      <c r="AG13" s="756"/>
    </row>
    <row r="14" spans="2:35" ht="15" customHeight="1" thickBot="1">
      <c r="B14" s="756"/>
      <c r="C14" s="756"/>
      <c r="D14" s="756"/>
      <c r="E14" s="756"/>
      <c r="F14" s="1502"/>
      <c r="G14" s="1502"/>
      <c r="H14" s="1502"/>
      <c r="I14" s="756"/>
      <c r="J14" s="756"/>
      <c r="K14" s="756"/>
      <c r="L14" s="756"/>
      <c r="M14" s="756"/>
      <c r="N14" s="756"/>
      <c r="O14" s="756"/>
      <c r="P14" s="756"/>
      <c r="Q14" s="756"/>
      <c r="U14" s="756"/>
      <c r="V14" s="864"/>
      <c r="W14" s="864"/>
      <c r="X14" s="317"/>
      <c r="Y14" s="317"/>
      <c r="Z14" s="317"/>
      <c r="AA14" s="317"/>
      <c r="AB14" s="756"/>
      <c r="AC14" s="756"/>
      <c r="AD14" s="756"/>
      <c r="AE14" s="756"/>
      <c r="AF14" s="756"/>
      <c r="AG14" s="756"/>
    </row>
    <row r="15" spans="2:35" ht="15" customHeight="1">
      <c r="B15" s="3033" t="s">
        <v>818</v>
      </c>
      <c r="C15" s="3034"/>
      <c r="D15" s="3035"/>
      <c r="E15" s="756"/>
      <c r="F15" s="2944" t="s">
        <v>1352</v>
      </c>
      <c r="G15" s="2945"/>
      <c r="H15" s="2946"/>
      <c r="I15" s="756"/>
      <c r="J15" s="2932" t="s">
        <v>823</v>
      </c>
      <c r="K15" s="2933"/>
      <c r="L15" s="2934"/>
      <c r="M15" s="756"/>
      <c r="N15" s="2938" t="s">
        <v>811</v>
      </c>
      <c r="O15" s="2939"/>
      <c r="P15" s="2940"/>
      <c r="Q15" s="756"/>
      <c r="R15" s="3027" t="s">
        <v>1354</v>
      </c>
      <c r="S15" s="3028"/>
      <c r="T15" s="3029"/>
      <c r="U15" s="841"/>
      <c r="V15" s="3004" t="s">
        <v>870</v>
      </c>
      <c r="W15" s="3005"/>
      <c r="X15" s="861"/>
      <c r="Y15" s="2997">
        <f>AD9+TIME(18,0,0)</f>
        <v>45505.75</v>
      </c>
      <c r="Z15" s="884"/>
      <c r="AA15" s="2958" t="s">
        <v>1461</v>
      </c>
      <c r="AB15" s="756"/>
      <c r="AC15" s="756"/>
      <c r="AD15" s="3045" t="s">
        <v>1430</v>
      </c>
      <c r="AE15" s="3046"/>
      <c r="AF15" s="3046"/>
      <c r="AG15" s="3047"/>
    </row>
    <row r="16" spans="2:35" ht="15" customHeight="1">
      <c r="B16" s="3036"/>
      <c r="C16" s="3037"/>
      <c r="D16" s="3038"/>
      <c r="E16" s="756"/>
      <c r="F16" s="2947"/>
      <c r="G16" s="2948"/>
      <c r="H16" s="2949"/>
      <c r="I16" s="756"/>
      <c r="J16" s="2935"/>
      <c r="K16" s="2936"/>
      <c r="L16" s="2937"/>
      <c r="M16" s="756"/>
      <c r="N16" s="2941"/>
      <c r="O16" s="2942"/>
      <c r="P16" s="2943"/>
      <c r="Q16" s="756"/>
      <c r="R16" s="3030"/>
      <c r="S16" s="3031"/>
      <c r="T16" s="3032"/>
      <c r="U16" s="841"/>
      <c r="V16" s="3006"/>
      <c r="W16" s="3007"/>
      <c r="X16" s="861"/>
      <c r="Y16" s="2957"/>
      <c r="Z16" s="885"/>
      <c r="AA16" s="2957"/>
      <c r="AB16" s="756"/>
      <c r="AC16" s="756"/>
      <c r="AD16" s="3048"/>
      <c r="AE16" s="3049"/>
      <c r="AF16" s="3049"/>
      <c r="AG16" s="3050"/>
    </row>
    <row r="17" spans="2:33" ht="15" customHeight="1" thickBot="1">
      <c r="B17" s="756"/>
      <c r="C17" s="756"/>
      <c r="D17" s="756"/>
      <c r="E17" s="756"/>
      <c r="F17" s="1502"/>
      <c r="G17" s="1502"/>
      <c r="H17" s="1502"/>
      <c r="I17" s="756"/>
      <c r="J17" s="756"/>
      <c r="K17" s="756"/>
      <c r="L17" s="756"/>
      <c r="M17" s="756"/>
      <c r="N17" s="756"/>
      <c r="O17" s="756"/>
      <c r="P17" s="756"/>
      <c r="Q17" s="756"/>
      <c r="U17" s="756"/>
      <c r="V17" s="864"/>
      <c r="W17" s="864"/>
      <c r="X17" s="317"/>
      <c r="Y17" s="317"/>
      <c r="Z17" s="317"/>
      <c r="AA17" s="317"/>
    </row>
    <row r="18" spans="2:33" ht="15" customHeight="1">
      <c r="B18" s="3033" t="s">
        <v>1567</v>
      </c>
      <c r="C18" s="3034"/>
      <c r="D18" s="3035"/>
      <c r="E18" s="756"/>
      <c r="F18" s="2950" t="s">
        <v>1343</v>
      </c>
      <c r="G18" s="2951"/>
      <c r="H18" s="2952"/>
      <c r="I18" s="756"/>
      <c r="J18" s="2932" t="s">
        <v>824</v>
      </c>
      <c r="K18" s="2933"/>
      <c r="L18" s="2934"/>
      <c r="M18" s="756"/>
      <c r="N18" s="2938" t="s">
        <v>1385</v>
      </c>
      <c r="O18" s="2939"/>
      <c r="P18" s="2940"/>
      <c r="Q18" s="756"/>
      <c r="R18" s="2926" t="s">
        <v>1386</v>
      </c>
      <c r="S18" s="2927"/>
      <c r="T18" s="2928"/>
      <c r="U18" s="841"/>
      <c r="V18" s="3017" t="s">
        <v>871</v>
      </c>
      <c r="W18" s="3018"/>
      <c r="X18" s="861"/>
      <c r="Y18" s="3014">
        <f>AD9+TIME(21,45,0)</f>
        <v>45505.90625</v>
      </c>
      <c r="Z18" s="884"/>
      <c r="AA18" s="3016" t="s">
        <v>1462</v>
      </c>
      <c r="AB18" s="756"/>
      <c r="AC18" s="756"/>
      <c r="AD18" s="1591" t="s">
        <v>1421</v>
      </c>
      <c r="AE18" s="1591" t="s">
        <v>1422</v>
      </c>
      <c r="AF18" s="1591" t="s">
        <v>1423</v>
      </c>
      <c r="AG18" s="1591" t="s">
        <v>1424</v>
      </c>
    </row>
    <row r="19" spans="2:33" ht="15" customHeight="1">
      <c r="B19" s="3036"/>
      <c r="C19" s="3037"/>
      <c r="D19" s="3038"/>
      <c r="E19" s="756"/>
      <c r="F19" s="2953"/>
      <c r="G19" s="2954"/>
      <c r="H19" s="2955"/>
      <c r="I19" s="756"/>
      <c r="J19" s="2935"/>
      <c r="K19" s="2936"/>
      <c r="L19" s="2937"/>
      <c r="M19" s="756"/>
      <c r="N19" s="2941"/>
      <c r="O19" s="2942"/>
      <c r="P19" s="2943"/>
      <c r="Q19" s="756"/>
      <c r="R19" s="2929"/>
      <c r="S19" s="2930"/>
      <c r="T19" s="2931"/>
      <c r="U19" s="841"/>
      <c r="V19" s="3019"/>
      <c r="W19" s="3020"/>
      <c r="X19" s="861"/>
      <c r="Y19" s="3015"/>
      <c r="Z19" s="885"/>
      <c r="AA19" s="3015"/>
      <c r="AB19" s="756"/>
      <c r="AC19" s="756"/>
      <c r="AD19" s="1788" t="s">
        <v>1425</v>
      </c>
      <c r="AE19" s="1789">
        <v>0.38541666666666669</v>
      </c>
      <c r="AF19" s="1789">
        <v>0.60416666666666663</v>
      </c>
      <c r="AG19" s="1789">
        <v>0.72916666666666663</v>
      </c>
    </row>
    <row r="20" spans="2:33" ht="15" customHeight="1" thickBot="1">
      <c r="B20" s="1574"/>
      <c r="C20" s="1574"/>
      <c r="D20" s="1574"/>
      <c r="E20" s="756"/>
      <c r="F20" s="1502"/>
      <c r="G20" s="1502"/>
      <c r="H20" s="1502"/>
      <c r="I20" s="756"/>
      <c r="J20" s="756"/>
      <c r="K20" s="756"/>
      <c r="L20" s="756"/>
      <c r="M20" s="756"/>
      <c r="N20" s="756"/>
      <c r="O20" s="756"/>
      <c r="P20" s="756"/>
      <c r="Q20" s="756"/>
      <c r="U20" s="756"/>
      <c r="V20" s="864"/>
      <c r="W20" s="864"/>
      <c r="X20" s="317"/>
      <c r="Y20" s="317"/>
      <c r="Z20" s="317"/>
      <c r="AA20" s="317"/>
      <c r="AB20" s="756"/>
      <c r="AC20" s="756"/>
      <c r="AD20" s="1788" t="s">
        <v>775</v>
      </c>
      <c r="AE20" s="1789">
        <v>0.39583333333333331</v>
      </c>
      <c r="AF20" s="1788"/>
      <c r="AG20" s="1788"/>
    </row>
    <row r="21" spans="2:33" ht="15" customHeight="1">
      <c r="B21" s="3021" t="s">
        <v>1387</v>
      </c>
      <c r="C21" s="3022"/>
      <c r="D21" s="3023"/>
      <c r="E21" s="756"/>
      <c r="F21" s="2944" t="s">
        <v>1353</v>
      </c>
      <c r="G21" s="2945"/>
      <c r="H21" s="2946"/>
      <c r="I21" s="756"/>
      <c r="J21" s="2932" t="s">
        <v>1388</v>
      </c>
      <c r="K21" s="2933"/>
      <c r="L21" s="2934"/>
      <c r="M21" s="756"/>
      <c r="N21" s="2938" t="s">
        <v>1389</v>
      </c>
      <c r="O21" s="2939"/>
      <c r="P21" s="2940"/>
      <c r="Q21" s="756"/>
      <c r="R21" s="2926" t="s">
        <v>1390</v>
      </c>
      <c r="S21" s="2927"/>
      <c r="T21" s="2928"/>
      <c r="U21" s="841"/>
      <c r="V21" s="3017" t="s">
        <v>872</v>
      </c>
      <c r="W21" s="3018"/>
      <c r="X21" s="861"/>
      <c r="Y21" s="3014">
        <f>AD9+TIME(23,45,0)</f>
        <v>45505.989583333336</v>
      </c>
      <c r="Z21" s="884"/>
      <c r="AA21" s="3016" t="s">
        <v>1463</v>
      </c>
      <c r="AB21" s="756"/>
      <c r="AC21" s="756"/>
      <c r="AD21" s="1788" t="s">
        <v>1426</v>
      </c>
      <c r="AE21" s="1789">
        <v>0.39583333333333331</v>
      </c>
      <c r="AF21" s="1789">
        <v>0.47569444444444442</v>
      </c>
      <c r="AG21" s="1789">
        <v>0.66666666666666663</v>
      </c>
    </row>
    <row r="22" spans="2:33" ht="15" customHeight="1">
      <c r="B22" s="3024"/>
      <c r="C22" s="3025"/>
      <c r="D22" s="3026"/>
      <c r="E22" s="756"/>
      <c r="F22" s="2947"/>
      <c r="G22" s="2948"/>
      <c r="H22" s="2949"/>
      <c r="I22" s="756"/>
      <c r="J22" s="2935"/>
      <c r="K22" s="2936"/>
      <c r="L22" s="2937"/>
      <c r="M22" s="756"/>
      <c r="N22" s="2941"/>
      <c r="O22" s="2942"/>
      <c r="P22" s="2943"/>
      <c r="Q22" s="756"/>
      <c r="R22" s="2929"/>
      <c r="S22" s="2930"/>
      <c r="T22" s="2931"/>
      <c r="U22" s="841"/>
      <c r="V22" s="3019"/>
      <c r="W22" s="3020"/>
      <c r="X22" s="861"/>
      <c r="Y22" s="3015"/>
      <c r="Z22" s="885"/>
      <c r="AA22" s="3015"/>
      <c r="AB22" s="756"/>
      <c r="AC22" s="756"/>
      <c r="AD22" s="1788" t="s">
        <v>224</v>
      </c>
      <c r="AE22" s="1789">
        <v>0.40277777777777773</v>
      </c>
      <c r="AF22" s="1789">
        <v>0.47569444444444442</v>
      </c>
      <c r="AG22" s="1789">
        <v>0.66666666666666663</v>
      </c>
    </row>
    <row r="23" spans="2:33" ht="15" customHeight="1" thickBot="1">
      <c r="B23" s="1574"/>
      <c r="C23" s="1574"/>
      <c r="D23" s="1574"/>
      <c r="E23" s="756"/>
      <c r="F23" s="1502"/>
      <c r="G23" s="1502"/>
      <c r="H23" s="1502"/>
      <c r="I23" s="756"/>
      <c r="J23" s="756"/>
      <c r="K23" s="756"/>
      <c r="L23" s="756"/>
      <c r="M23" s="756"/>
      <c r="N23" s="756"/>
      <c r="O23" s="756"/>
      <c r="P23" s="756"/>
      <c r="Q23" s="756"/>
      <c r="U23" s="756"/>
      <c r="V23" s="317"/>
      <c r="W23" s="317"/>
      <c r="X23" s="317"/>
      <c r="Y23" s="317"/>
      <c r="Z23" s="317"/>
      <c r="AA23" s="317"/>
      <c r="AB23" s="756"/>
      <c r="AC23" s="756"/>
      <c r="AD23" s="1788" t="s">
        <v>1427</v>
      </c>
      <c r="AE23" s="1789">
        <v>0.41666666666666669</v>
      </c>
      <c r="AF23" s="1789">
        <v>0.61458333333333337</v>
      </c>
      <c r="AG23" s="1789">
        <v>0.75</v>
      </c>
    </row>
    <row r="24" spans="2:33" ht="15" customHeight="1">
      <c r="B24" s="3021" t="s">
        <v>1638</v>
      </c>
      <c r="C24" s="3022"/>
      <c r="D24" s="3023"/>
      <c r="E24" s="756"/>
      <c r="F24" s="2950" t="s">
        <v>1342</v>
      </c>
      <c r="G24" s="2951"/>
      <c r="H24" s="2952"/>
      <c r="I24" s="756"/>
      <c r="J24" s="2932" t="s">
        <v>1391</v>
      </c>
      <c r="K24" s="2933"/>
      <c r="L24" s="2934"/>
      <c r="M24" s="756"/>
      <c r="N24" s="2938" t="s">
        <v>812</v>
      </c>
      <c r="O24" s="2939"/>
      <c r="P24" s="2940"/>
      <c r="Q24" s="756"/>
      <c r="R24" s="2926" t="s">
        <v>1392</v>
      </c>
      <c r="S24" s="2927"/>
      <c r="T24" s="2928"/>
      <c r="U24" s="841"/>
      <c r="V24" s="3017" t="s">
        <v>873</v>
      </c>
      <c r="W24" s="3018"/>
      <c r="X24" s="861"/>
      <c r="Y24" s="3014">
        <f>AD9+TIME(4,0,0)</f>
        <v>45505.166666666664</v>
      </c>
      <c r="Z24" s="884"/>
      <c r="AA24" s="3016" t="s">
        <v>1464</v>
      </c>
      <c r="AB24" s="756"/>
      <c r="AC24" s="756"/>
      <c r="AD24" s="1788" t="s">
        <v>1428</v>
      </c>
      <c r="AE24" s="1789">
        <v>0.4375</v>
      </c>
      <c r="AF24" s="1788"/>
      <c r="AG24" s="1789">
        <v>0.6875</v>
      </c>
    </row>
    <row r="25" spans="2:33" ht="15" customHeight="1">
      <c r="B25" s="3024"/>
      <c r="C25" s="3025"/>
      <c r="D25" s="3026"/>
      <c r="E25" s="756"/>
      <c r="F25" s="2953"/>
      <c r="G25" s="2954"/>
      <c r="H25" s="2955"/>
      <c r="I25" s="756"/>
      <c r="J25" s="2935"/>
      <c r="K25" s="2936"/>
      <c r="L25" s="2937"/>
      <c r="M25" s="756"/>
      <c r="N25" s="2941"/>
      <c r="O25" s="2942"/>
      <c r="P25" s="2943"/>
      <c r="Q25" s="756"/>
      <c r="R25" s="2929"/>
      <c r="S25" s="2930"/>
      <c r="T25" s="2931"/>
      <c r="U25" s="841"/>
      <c r="V25" s="3019"/>
      <c r="W25" s="3020"/>
      <c r="X25" s="861"/>
      <c r="Y25" s="3015"/>
      <c r="Z25" s="885"/>
      <c r="AA25" s="3015"/>
      <c r="AB25" s="756"/>
      <c r="AC25" s="756"/>
      <c r="AD25" s="1790"/>
      <c r="AE25" s="1790"/>
      <c r="AF25" s="1790"/>
      <c r="AG25" s="1790"/>
    </row>
    <row r="26" spans="2:33" ht="15" customHeight="1" thickBot="1">
      <c r="B26" s="756"/>
      <c r="C26" s="756"/>
      <c r="D26" s="756"/>
      <c r="E26" s="756"/>
      <c r="F26" s="1503"/>
      <c r="G26" s="1503"/>
      <c r="H26" s="1503"/>
      <c r="I26" s="756"/>
      <c r="J26" s="756"/>
      <c r="K26" s="756"/>
      <c r="L26" s="756"/>
      <c r="M26" s="756"/>
      <c r="N26" s="756"/>
      <c r="O26" s="756"/>
      <c r="P26" s="756"/>
      <c r="Q26" s="756"/>
      <c r="U26" s="756"/>
      <c r="V26" s="317"/>
      <c r="W26" s="317"/>
      <c r="X26" s="317"/>
      <c r="Y26" s="317"/>
      <c r="Z26" s="317"/>
      <c r="AA26" s="317"/>
      <c r="AB26" s="756"/>
      <c r="AC26" s="756"/>
      <c r="AD26" s="1591" t="s">
        <v>1429</v>
      </c>
      <c r="AE26" s="1591" t="s">
        <v>1422</v>
      </c>
      <c r="AF26" s="1591" t="s">
        <v>1423</v>
      </c>
      <c r="AG26" s="1591" t="s">
        <v>1424</v>
      </c>
    </row>
    <row r="27" spans="2:33" ht="15" customHeight="1">
      <c r="B27" s="3021" t="s">
        <v>1637</v>
      </c>
      <c r="C27" s="3022"/>
      <c r="D27" s="3023"/>
      <c r="E27" s="756"/>
      <c r="F27" s="2944" t="s">
        <v>1349</v>
      </c>
      <c r="G27" s="2945"/>
      <c r="H27" s="2946"/>
      <c r="I27" s="756"/>
      <c r="J27" s="2932" t="s">
        <v>825</v>
      </c>
      <c r="K27" s="2933"/>
      <c r="L27" s="2934"/>
      <c r="M27" s="756"/>
      <c r="N27" s="2938" t="s">
        <v>813</v>
      </c>
      <c r="O27" s="2939"/>
      <c r="P27" s="2940"/>
      <c r="Q27" s="756"/>
      <c r="R27" s="2926" t="s">
        <v>830</v>
      </c>
      <c r="S27" s="2927"/>
      <c r="T27" s="2928"/>
      <c r="U27" s="841"/>
      <c r="V27" s="3017" t="s">
        <v>874</v>
      </c>
      <c r="W27" s="3018"/>
      <c r="X27" s="861"/>
      <c r="Y27" s="3014">
        <f>AD9+TIME(6,0,0)</f>
        <v>45505.25</v>
      </c>
      <c r="Z27" s="884"/>
      <c r="AA27" s="3016" t="s">
        <v>1465</v>
      </c>
      <c r="AB27" s="756"/>
      <c r="AC27" s="756"/>
      <c r="AD27" s="1788" t="s">
        <v>1425</v>
      </c>
      <c r="AE27" s="1789">
        <v>0.88541666666666663</v>
      </c>
      <c r="AF27" s="1789">
        <v>0.10416666666666667</v>
      </c>
      <c r="AG27" s="1789">
        <v>0.22916666666666666</v>
      </c>
    </row>
    <row r="28" spans="2:33" ht="15" customHeight="1">
      <c r="B28" s="3024"/>
      <c r="C28" s="3025"/>
      <c r="D28" s="3026"/>
      <c r="E28" s="756"/>
      <c r="F28" s="2947"/>
      <c r="G28" s="2948"/>
      <c r="H28" s="2949"/>
      <c r="I28" s="756"/>
      <c r="J28" s="2935"/>
      <c r="K28" s="2936"/>
      <c r="L28" s="2937"/>
      <c r="M28" s="756"/>
      <c r="N28" s="2941"/>
      <c r="O28" s="2942"/>
      <c r="P28" s="2943"/>
      <c r="Q28" s="756"/>
      <c r="R28" s="2929"/>
      <c r="S28" s="2930"/>
      <c r="T28" s="2931"/>
      <c r="U28" s="841"/>
      <c r="V28" s="3019"/>
      <c r="W28" s="3020"/>
      <c r="X28" s="861"/>
      <c r="Y28" s="3015"/>
      <c r="Z28" s="885"/>
      <c r="AA28" s="3015"/>
      <c r="AB28" s="756"/>
      <c r="AC28" s="756"/>
      <c r="AD28" s="1788" t="s">
        <v>775</v>
      </c>
      <c r="AE28" s="1789">
        <v>0.9375</v>
      </c>
      <c r="AF28" s="1788"/>
      <c r="AG28" s="1788"/>
    </row>
    <row r="29" spans="2:33" ht="15" customHeight="1" thickBot="1">
      <c r="B29" s="756"/>
      <c r="C29" s="756"/>
      <c r="D29" s="756"/>
      <c r="E29" s="756"/>
      <c r="F29" s="1503"/>
      <c r="G29" s="1503"/>
      <c r="H29" s="1503"/>
      <c r="I29" s="756"/>
      <c r="J29" s="756"/>
      <c r="K29" s="756"/>
      <c r="L29" s="756"/>
      <c r="M29" s="756"/>
      <c r="N29" s="756"/>
      <c r="O29" s="756"/>
      <c r="P29" s="756"/>
      <c r="Q29" s="756"/>
      <c r="U29" s="756"/>
      <c r="V29" s="317"/>
      <c r="W29" s="317"/>
      <c r="X29" s="317"/>
      <c r="Y29" s="317"/>
      <c r="Z29" s="317"/>
      <c r="AA29" s="317"/>
      <c r="AB29" s="756"/>
      <c r="AC29" s="756"/>
      <c r="AD29" s="1788" t="s">
        <v>1426</v>
      </c>
      <c r="AE29" s="1789">
        <v>0.91666666666666663</v>
      </c>
      <c r="AF29" s="1789"/>
      <c r="AG29" s="1789">
        <v>0.1875</v>
      </c>
    </row>
    <row r="30" spans="2:33" ht="15" customHeight="1">
      <c r="B30" s="3033" t="s">
        <v>816</v>
      </c>
      <c r="C30" s="3034"/>
      <c r="D30" s="3035"/>
      <c r="E30" s="756"/>
      <c r="F30" s="2950" t="s">
        <v>1350</v>
      </c>
      <c r="G30" s="2951"/>
      <c r="H30" s="2952"/>
      <c r="I30" s="756"/>
      <c r="J30" s="2932" t="s">
        <v>815</v>
      </c>
      <c r="K30" s="2933"/>
      <c r="L30" s="2934"/>
      <c r="M30" s="756"/>
      <c r="N30" s="2938" t="s">
        <v>813</v>
      </c>
      <c r="O30" s="2939"/>
      <c r="P30" s="2940"/>
      <c r="Q30" s="756"/>
      <c r="R30" s="2926" t="s">
        <v>1404</v>
      </c>
      <c r="S30" s="2927"/>
      <c r="T30" s="2928"/>
      <c r="U30" s="841"/>
      <c r="V30" s="2922"/>
      <c r="W30" s="2923"/>
      <c r="X30" s="861"/>
      <c r="Y30" s="2914" t="s">
        <v>1582</v>
      </c>
      <c r="Z30" s="884"/>
      <c r="AA30" s="3039" t="s">
        <v>900</v>
      </c>
      <c r="AB30" s="756"/>
      <c r="AC30" s="756"/>
      <c r="AD30" s="1788" t="s">
        <v>224</v>
      </c>
      <c r="AE30" s="1789">
        <v>0.91666666666666663</v>
      </c>
      <c r="AF30" s="1789"/>
      <c r="AG30" s="1789">
        <v>0.1875</v>
      </c>
    </row>
    <row r="31" spans="2:33" ht="15" customHeight="1">
      <c r="B31" s="3036"/>
      <c r="C31" s="3037"/>
      <c r="D31" s="3038"/>
      <c r="E31" s="756"/>
      <c r="F31" s="2953"/>
      <c r="G31" s="2954"/>
      <c r="H31" s="2955"/>
      <c r="I31" s="756"/>
      <c r="J31" s="2935"/>
      <c r="K31" s="2936"/>
      <c r="L31" s="2937"/>
      <c r="M31" s="756"/>
      <c r="N31" s="2941"/>
      <c r="O31" s="2942"/>
      <c r="P31" s="2943"/>
      <c r="Q31" s="756"/>
      <c r="R31" s="2929"/>
      <c r="S31" s="2930"/>
      <c r="T31" s="2931"/>
      <c r="U31" s="841"/>
      <c r="V31" s="2924"/>
      <c r="W31" s="2925"/>
      <c r="X31" s="861"/>
      <c r="Y31" s="2915"/>
      <c r="Z31" s="885"/>
      <c r="AA31" s="3040"/>
      <c r="AB31" s="756"/>
      <c r="AC31" s="756"/>
      <c r="AD31" s="1788" t="s">
        <v>1428</v>
      </c>
      <c r="AE31" s="1789">
        <v>0.95833333333333337</v>
      </c>
      <c r="AF31" s="1788"/>
      <c r="AG31" s="1789">
        <v>0.20833333333333334</v>
      </c>
    </row>
    <row r="32" spans="2:33" ht="15" customHeight="1">
      <c r="B32" s="756"/>
      <c r="C32" s="756"/>
      <c r="D32" s="756"/>
      <c r="F32" s="1502"/>
      <c r="G32" s="1502"/>
      <c r="H32" s="1502"/>
      <c r="Y32" s="756"/>
    </row>
    <row r="33" spans="6:35" ht="15" customHeight="1">
      <c r="F33" s="3079" t="s">
        <v>1378</v>
      </c>
      <c r="G33" s="3080"/>
      <c r="H33" s="3081"/>
      <c r="R33" s="2926" t="s">
        <v>1403</v>
      </c>
      <c r="S33" s="2927"/>
      <c r="T33" s="2928"/>
    </row>
    <row r="34" spans="6:35" ht="15" customHeight="1">
      <c r="F34" s="3082"/>
      <c r="G34" s="3083"/>
      <c r="H34" s="3084"/>
      <c r="R34" s="2929"/>
      <c r="S34" s="2930"/>
      <c r="T34" s="2931"/>
    </row>
    <row r="35" spans="6:35" ht="15" customHeight="1">
      <c r="F35" s="1503"/>
      <c r="G35" s="1503"/>
      <c r="H35" s="1503"/>
    </row>
    <row r="36" spans="6:35" ht="15" customHeight="1">
      <c r="F36" s="3008" t="s">
        <v>827</v>
      </c>
      <c r="G36" s="3009"/>
      <c r="H36" s="3010"/>
      <c r="R36" s="2926" t="s">
        <v>831</v>
      </c>
      <c r="S36" s="2927"/>
      <c r="T36" s="2928"/>
      <c r="AA36" s="2445"/>
    </row>
    <row r="37" spans="6:35" ht="15" customHeight="1">
      <c r="F37" s="3011"/>
      <c r="G37" s="3012"/>
      <c r="H37" s="3013"/>
      <c r="R37" s="2929"/>
      <c r="S37" s="2930"/>
      <c r="T37" s="2931"/>
    </row>
    <row r="38" spans="6:35" ht="15" customHeight="1"/>
    <row r="39" spans="6:35" ht="15" customHeight="1">
      <c r="R39" s="2916" t="s">
        <v>1393</v>
      </c>
      <c r="S39" s="2917"/>
      <c r="T39" s="2918"/>
    </row>
    <row r="40" spans="6:35" ht="15" customHeight="1">
      <c r="R40" s="2919"/>
      <c r="S40" s="2920"/>
      <c r="T40" s="2921"/>
    </row>
    <row r="41" spans="6:35" ht="15.75" customHeight="1">
      <c r="R41" s="3076" t="s">
        <v>1556</v>
      </c>
      <c r="S41" s="3076"/>
      <c r="T41" s="3076"/>
      <c r="U41" s="3076"/>
      <c r="V41" s="3076"/>
      <c r="W41" s="3076"/>
      <c r="X41" s="3076"/>
      <c r="Y41" s="3076"/>
      <c r="Z41" s="3076"/>
      <c r="AA41" s="3076"/>
      <c r="AB41" s="3076"/>
      <c r="AC41" s="3076"/>
      <c r="AD41" s="3076"/>
      <c r="AE41" s="3076"/>
      <c r="AF41" s="3076"/>
      <c r="AG41" s="3076"/>
      <c r="AH41" s="3076"/>
      <c r="AI41" s="3076"/>
    </row>
    <row r="42" spans="6:35" ht="15.75" customHeight="1">
      <c r="R42" s="3077"/>
      <c r="S42" s="3077"/>
      <c r="T42" s="3077"/>
      <c r="U42" s="3077"/>
      <c r="V42" s="3077"/>
      <c r="W42" s="3077"/>
      <c r="X42" s="3077"/>
      <c r="Y42" s="3077"/>
      <c r="Z42" s="3077"/>
      <c r="AA42" s="3077"/>
      <c r="AB42" s="3077"/>
      <c r="AC42" s="3077"/>
      <c r="AD42" s="3077"/>
      <c r="AE42" s="3077"/>
      <c r="AF42" s="3077"/>
      <c r="AG42" s="3077"/>
      <c r="AH42" s="3077"/>
      <c r="AI42" s="3077"/>
    </row>
    <row r="43" spans="6:35" ht="27" customHeight="1">
      <c r="R43" s="2265"/>
      <c r="S43" s="2267"/>
      <c r="T43" s="2266"/>
      <c r="U43" s="3072" t="s">
        <v>1559</v>
      </c>
      <c r="V43" s="3072"/>
      <c r="W43" s="3072"/>
      <c r="X43" s="3072"/>
      <c r="Y43" s="3072"/>
      <c r="Z43" s="3072" t="s">
        <v>1560</v>
      </c>
      <c r="AA43" s="3072"/>
      <c r="AB43" s="3072"/>
      <c r="AC43" s="3072"/>
      <c r="AD43" s="3072"/>
      <c r="AE43" s="3072" t="s">
        <v>224</v>
      </c>
      <c r="AF43" s="3072"/>
      <c r="AG43" s="3072"/>
      <c r="AH43" s="3072"/>
      <c r="AI43" s="3072"/>
    </row>
    <row r="44" spans="6:35" ht="24.75" customHeight="1">
      <c r="R44" s="2265" t="s">
        <v>1557</v>
      </c>
      <c r="S44" s="2267"/>
      <c r="T44" s="2266"/>
      <c r="U44" s="3078" t="s">
        <v>1676</v>
      </c>
      <c r="V44" s="3072"/>
      <c r="W44" s="3072"/>
      <c r="X44" s="3072"/>
      <c r="Y44" s="3072"/>
      <c r="Z44" s="3078" t="s">
        <v>1673</v>
      </c>
      <c r="AA44" s="3072"/>
      <c r="AB44" s="3072"/>
      <c r="AC44" s="3072"/>
      <c r="AD44" s="3072"/>
      <c r="AE44" s="3078" t="s">
        <v>1636</v>
      </c>
      <c r="AF44" s="3072"/>
      <c r="AG44" s="3072"/>
      <c r="AH44" s="3072"/>
      <c r="AI44" s="3072"/>
    </row>
    <row r="45" spans="6:35" ht="24.75" customHeight="1">
      <c r="R45" s="2265" t="s">
        <v>1558</v>
      </c>
      <c r="S45" s="2267"/>
      <c r="T45" s="2266"/>
      <c r="U45" s="3078" t="s">
        <v>1657</v>
      </c>
      <c r="V45" s="3072"/>
      <c r="W45" s="3072"/>
      <c r="X45" s="3072"/>
      <c r="Y45" s="3072"/>
      <c r="Z45" s="3078" t="s">
        <v>1673</v>
      </c>
      <c r="AA45" s="3072"/>
      <c r="AB45" s="3072"/>
      <c r="AC45" s="3072"/>
      <c r="AD45" s="3072"/>
      <c r="AE45" s="3078" t="s">
        <v>1636</v>
      </c>
      <c r="AF45" s="3072"/>
      <c r="AG45" s="3072"/>
      <c r="AH45" s="3072"/>
      <c r="AI45" s="3072"/>
    </row>
    <row r="46" spans="6:35" ht="33.75" customHeight="1">
      <c r="R46" s="2265" t="s">
        <v>1561</v>
      </c>
      <c r="S46" s="2267"/>
      <c r="T46" s="2266"/>
      <c r="U46" s="3072" t="s">
        <v>46</v>
      </c>
      <c r="V46" s="3072"/>
      <c r="W46" s="3072"/>
      <c r="X46" s="3072"/>
      <c r="Y46" s="3072"/>
      <c r="Z46" s="3072" t="s">
        <v>46</v>
      </c>
      <c r="AA46" s="3072"/>
      <c r="AB46" s="3072"/>
      <c r="AC46" s="3072"/>
      <c r="AD46" s="3072"/>
      <c r="AE46" s="3073" t="s">
        <v>1626</v>
      </c>
      <c r="AF46" s="3074"/>
      <c r="AG46" s="3074"/>
      <c r="AH46" s="3074"/>
      <c r="AI46" s="3075"/>
    </row>
  </sheetData>
  <dataConsolidate/>
  <mergeCells count="100">
    <mergeCell ref="B30:D31"/>
    <mergeCell ref="Z46:AD46"/>
    <mergeCell ref="AE46:AI46"/>
    <mergeCell ref="R41:AI42"/>
    <mergeCell ref="AE43:AI43"/>
    <mergeCell ref="U44:Y44"/>
    <mergeCell ref="Z44:AD44"/>
    <mergeCell ref="AE44:AI44"/>
    <mergeCell ref="U45:Y45"/>
    <mergeCell ref="Z45:AD45"/>
    <mergeCell ref="AE45:AI45"/>
    <mergeCell ref="U43:Y43"/>
    <mergeCell ref="U46:Y46"/>
    <mergeCell ref="Z43:AD43"/>
    <mergeCell ref="F36:H37"/>
    <mergeCell ref="F33:H34"/>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Y9:Y10"/>
    <mergeCell ref="R15:T16"/>
    <mergeCell ref="B12:D13"/>
    <mergeCell ref="B15:D16"/>
    <mergeCell ref="F15:H16"/>
    <mergeCell ref="B27:D28"/>
    <mergeCell ref="F24:H25"/>
    <mergeCell ref="J27:L28"/>
    <mergeCell ref="J24:L25"/>
    <mergeCell ref="B24:D25"/>
    <mergeCell ref="AA15:AA16"/>
    <mergeCell ref="AA27:AA28"/>
    <mergeCell ref="R18:T19"/>
    <mergeCell ref="R24:T25"/>
    <mergeCell ref="R21:T22"/>
    <mergeCell ref="Y27:Y28"/>
    <mergeCell ref="V21:W22"/>
    <mergeCell ref="Y21:Y22"/>
    <mergeCell ref="R27:T28"/>
    <mergeCell ref="N18:P19"/>
    <mergeCell ref="N21:P22"/>
    <mergeCell ref="Y18:Y19"/>
    <mergeCell ref="J18:L19"/>
    <mergeCell ref="N24:P25"/>
    <mergeCell ref="J21:L22"/>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J30:L31"/>
    <mergeCell ref="N30:P31"/>
    <mergeCell ref="F27:H28"/>
    <mergeCell ref="N27:P28"/>
    <mergeCell ref="F30:H31"/>
    <mergeCell ref="Y30:Y31"/>
    <mergeCell ref="R39:T40"/>
    <mergeCell ref="V30:W31"/>
    <mergeCell ref="R36:T37"/>
    <mergeCell ref="R33:T34"/>
    <mergeCell ref="R30:T31"/>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7:D28" location="'3''''.XT-C KH'!Print_Area" display="3''.XT-C KH"/>
    <hyperlink ref="B18:D19" location="'3.XT-C KH'!A1" display="'3.XT-C KH'!A1"/>
    <hyperlink ref="B30:D31" location="XM.chart!A1" display="XM.chart!A1"/>
    <hyperlink ref="N27:P28" location="RL.chart1!A1" display="RL.chart1!A1"/>
    <hyperlink ref="F36:H37" location="'XM.chart 1'!A1" display="'XM.chart 1'!A1"/>
    <hyperlink ref="B21:D22" location="'4. Zn-Ni KH'!A1" display="4.Zn Ni.kh"/>
    <hyperlink ref="B24:D25" location="'3''.XT-C KH'!A1" display="3'.XT-C KH"/>
    <hyperlink ref="Y30:Y31" location="'SOP HOA NGHIEM'!A1" display="'SOP HOA NGHIEM'!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5"/>
  <sheetViews>
    <sheetView zoomScale="85" zoomScaleNormal="85" workbookViewId="0">
      <pane ySplit="1" topLeftCell="A30" activePane="bottomLeft" state="frozen"/>
      <selection pane="bottomLeft" activeCell="G47" sqref="G47"/>
    </sheetView>
  </sheetViews>
  <sheetFormatPr defaultRowHeight="15.75" customHeight="1"/>
  <cols>
    <col min="1" max="1" width="24" style="1" customWidth="1"/>
    <col min="2" max="2" width="7.25" style="1083" customWidth="1"/>
    <col min="3" max="7" width="7.25" style="100" customWidth="1"/>
    <col min="8" max="8" width="8.375" style="1988" customWidth="1"/>
    <col min="9" max="9" width="9.625" style="1988" customWidth="1"/>
    <col min="10" max="10" width="9.5" style="1073" customWidth="1"/>
    <col min="11" max="15" width="7" style="1073" customWidth="1"/>
    <col min="16" max="16" width="9.5" style="1" customWidth="1"/>
    <col min="17" max="17" width="4.75" style="1073" customWidth="1"/>
    <col min="18" max="16384" width="9" style="1073"/>
  </cols>
  <sheetData>
    <row r="1" spans="1:24" ht="27.75" customHeight="1">
      <c r="A1" s="2021" t="str">
        <f>MENU!AD9</f>
        <v>2024/08/01</v>
      </c>
    </row>
    <row r="2" spans="1:24" ht="23.25" customHeight="1">
      <c r="A2" s="2005" t="s">
        <v>215</v>
      </c>
      <c r="B2" s="1077" t="s">
        <v>1443</v>
      </c>
      <c r="C2" s="1078" t="s">
        <v>1444</v>
      </c>
      <c r="D2" s="1078" t="s">
        <v>1445</v>
      </c>
      <c r="E2" s="1078" t="s">
        <v>1446</v>
      </c>
      <c r="F2" s="1078" t="s">
        <v>1447</v>
      </c>
      <c r="G2" s="1077" t="s">
        <v>1448</v>
      </c>
      <c r="H2" s="2012" t="s">
        <v>1486</v>
      </c>
      <c r="I2" s="2013"/>
      <c r="J2" s="1071" t="s">
        <v>1443</v>
      </c>
      <c r="K2" s="1072" t="s">
        <v>1444</v>
      </c>
      <c r="L2" s="1072" t="s">
        <v>1445</v>
      </c>
      <c r="M2" s="1072" t="s">
        <v>1446</v>
      </c>
      <c r="N2" s="1072" t="s">
        <v>1447</v>
      </c>
      <c r="O2" s="1072" t="s">
        <v>1448</v>
      </c>
      <c r="P2" s="1187" t="s">
        <v>1137</v>
      </c>
      <c r="Q2" s="1"/>
      <c r="R2" s="3085" t="s">
        <v>1025</v>
      </c>
      <c r="S2" s="3085"/>
      <c r="T2" s="3085"/>
      <c r="V2" s="1998"/>
      <c r="W2" s="1998"/>
      <c r="X2" s="1998"/>
    </row>
    <row r="3" spans="1:24" ht="15.75" customHeight="1">
      <c r="A3" s="2" t="s">
        <v>1026</v>
      </c>
      <c r="B3" s="1079"/>
      <c r="C3" s="1079">
        <v>6.65</v>
      </c>
      <c r="D3" s="1079">
        <v>8.1999999999999993</v>
      </c>
      <c r="E3" s="1079">
        <v>8.4</v>
      </c>
      <c r="F3" s="1079">
        <v>8</v>
      </c>
      <c r="G3" s="1079">
        <v>8.1999999999999993</v>
      </c>
      <c r="H3" s="2010" t="str">
        <f>'XM.GUI MAIL'!$E$6</f>
        <v>20~40</v>
      </c>
      <c r="I3" s="2011" t="str">
        <f>'XM.GUI MAIL'!$F$6</f>
        <v>(30±5)</v>
      </c>
      <c r="J3" s="1833">
        <f>'XM.GUI MAIL'!I6</f>
        <v>0</v>
      </c>
      <c r="K3" s="1833">
        <f>'XM.GUI MAIL'!P6</f>
        <v>26.6</v>
      </c>
      <c r="L3" s="1833">
        <f>'XM.GUI MAIL'!W6</f>
        <v>32.799999999999997</v>
      </c>
      <c r="M3" s="1833">
        <f>'XM.GUI MAIL'!AD6</f>
        <v>33.6</v>
      </c>
      <c r="N3" s="1833">
        <f>'XM.GUI MAIL'!AK6</f>
        <v>32</v>
      </c>
      <c r="O3" s="1833">
        <f>'XM.GUI MAIL'!AR6</f>
        <v>32.799999999999997</v>
      </c>
      <c r="P3" s="1186" t="s">
        <v>1138</v>
      </c>
      <c r="Q3" s="1186"/>
      <c r="R3" s="1080"/>
      <c r="S3" s="1"/>
      <c r="V3" s="1998"/>
      <c r="W3" s="1998"/>
      <c r="X3" s="1998"/>
    </row>
    <row r="4" spans="1:24" ht="15.75" hidden="1" customHeight="1">
      <c r="A4" s="2"/>
      <c r="B4" s="1079"/>
      <c r="C4" s="1079"/>
      <c r="D4" s="1079"/>
      <c r="E4" s="1079"/>
      <c r="F4" s="1079"/>
      <c r="G4" s="1079"/>
      <c r="H4" s="2010" t="s">
        <v>101</v>
      </c>
      <c r="I4" s="2011"/>
      <c r="J4" s="1874">
        <f>'XM.GUI MAIL'!I7</f>
        <v>0</v>
      </c>
      <c r="K4" s="1874">
        <f>'XM.GUI MAIL'!P7</f>
        <v>0</v>
      </c>
      <c r="L4" s="1874">
        <f>'XM.GUI MAIL'!W7</f>
        <v>0</v>
      </c>
      <c r="M4" s="1874">
        <f>'XM.GUI MAIL'!AD7</f>
        <v>0</v>
      </c>
      <c r="N4" s="1874">
        <f>'XM.GUI MAIL'!AK7</f>
        <v>0</v>
      </c>
      <c r="O4" s="1874">
        <f>'XM.GUI MAIL'!AR7</f>
        <v>0</v>
      </c>
      <c r="P4" s="1186"/>
      <c r="Q4" s="1186"/>
      <c r="R4" s="1080"/>
      <c r="S4" s="1"/>
      <c r="V4" s="1998"/>
      <c r="W4" s="1998"/>
      <c r="X4" s="1998"/>
    </row>
    <row r="5" spans="1:24" ht="15.75" hidden="1" customHeight="1">
      <c r="A5" s="2"/>
      <c r="B5" s="1079"/>
      <c r="C5" s="1079"/>
      <c r="D5" s="1079"/>
      <c r="E5" s="1079"/>
      <c r="F5" s="1079"/>
      <c r="G5" s="1079"/>
      <c r="H5" s="2010" t="s">
        <v>101</v>
      </c>
      <c r="I5" s="2011"/>
      <c r="J5" s="1875">
        <f>'XM.GUI MAIL'!I8</f>
        <v>0</v>
      </c>
      <c r="K5" s="1875">
        <f>'XM.GUI MAIL'!P8</f>
        <v>0</v>
      </c>
      <c r="L5" s="1875">
        <f>'XM.GUI MAIL'!W8</f>
        <v>0</v>
      </c>
      <c r="M5" s="1875">
        <f>'XM.GUI MAIL'!AD8</f>
        <v>0</v>
      </c>
      <c r="N5" s="1875">
        <f>'XM.GUI MAIL'!AK8</f>
        <v>0</v>
      </c>
      <c r="O5" s="1875">
        <f>'XM.GUI MAIL'!AR8</f>
        <v>0</v>
      </c>
      <c r="P5" s="1186"/>
      <c r="Q5" s="1186"/>
      <c r="R5" s="1080"/>
      <c r="S5" s="1"/>
      <c r="V5" s="1998"/>
      <c r="W5" s="1998"/>
      <c r="X5" s="1998"/>
    </row>
    <row r="6" spans="1:24" ht="15.75" customHeight="1">
      <c r="A6" s="2" t="s">
        <v>1027</v>
      </c>
      <c r="B6" s="1079"/>
      <c r="C6" s="1079">
        <v>7.75</v>
      </c>
      <c r="D6" s="1079">
        <v>7.55</v>
      </c>
      <c r="E6" s="1079">
        <v>7.8</v>
      </c>
      <c r="F6" s="1079">
        <v>8</v>
      </c>
      <c r="G6" s="1079">
        <v>8</v>
      </c>
      <c r="H6" s="2010" t="str">
        <f>'XM.GUI MAIL'!$E$9</f>
        <v>20~40</v>
      </c>
      <c r="I6" s="2011" t="str">
        <f>'XM.GUI MAIL'!$F$9</f>
        <v>(30±5)</v>
      </c>
      <c r="J6" s="1833">
        <f>'XM.GUI MAIL'!I9</f>
        <v>0</v>
      </c>
      <c r="K6" s="1833">
        <f>'XM.GUI MAIL'!P9</f>
        <v>31</v>
      </c>
      <c r="L6" s="1833">
        <f>'XM.GUI MAIL'!W9</f>
        <v>30.2</v>
      </c>
      <c r="M6" s="1833">
        <f>'XM.GUI MAIL'!AD9</f>
        <v>31.2</v>
      </c>
      <c r="N6" s="1833">
        <f>'XM.GUI MAIL'!AK9</f>
        <v>32</v>
      </c>
      <c r="O6" s="1833">
        <f>'XM.GUI MAIL'!AR9</f>
        <v>32</v>
      </c>
      <c r="P6" s="1186" t="s">
        <v>1138</v>
      </c>
      <c r="Q6" s="1186"/>
      <c r="R6" s="1080" t="s">
        <v>1028</v>
      </c>
      <c r="T6" s="1" t="s">
        <v>1029</v>
      </c>
    </row>
    <row r="7" spans="1:24" ht="15.75" hidden="1" customHeight="1">
      <c r="A7" s="2"/>
      <c r="B7" s="1079"/>
      <c r="C7" s="1079"/>
      <c r="D7" s="1079"/>
      <c r="E7" s="1079"/>
      <c r="F7" s="1079"/>
      <c r="G7" s="2006"/>
      <c r="H7" s="2010" t="s">
        <v>101</v>
      </c>
      <c r="I7" s="2011"/>
      <c r="J7" s="1874">
        <f>'XM.GUI MAIL'!I10</f>
        <v>0</v>
      </c>
      <c r="K7" s="1874">
        <f>'XM.GUI MAIL'!P10</f>
        <v>0</v>
      </c>
      <c r="L7" s="1874">
        <f>'XM.GUI MAIL'!W10</f>
        <v>0</v>
      </c>
      <c r="M7" s="1874">
        <f>'XM.GUI MAIL'!AD10</f>
        <v>0</v>
      </c>
      <c r="N7" s="1874">
        <f>'XM.GUI MAIL'!AK10</f>
        <v>0</v>
      </c>
      <c r="O7" s="1874">
        <f>'XM.GUI MAIL'!AR10</f>
        <v>0</v>
      </c>
      <c r="P7" s="1186"/>
      <c r="Q7" s="1186"/>
      <c r="R7" s="1080"/>
      <c r="T7" s="1"/>
    </row>
    <row r="8" spans="1:24" ht="15.75" hidden="1" customHeight="1">
      <c r="A8" s="2"/>
      <c r="B8" s="1079"/>
      <c r="C8" s="1079"/>
      <c r="D8" s="1079"/>
      <c r="E8" s="1079"/>
      <c r="F8" s="1079"/>
      <c r="G8" s="2006"/>
      <c r="H8" s="2010" t="s">
        <v>101</v>
      </c>
      <c r="I8" s="2011"/>
      <c r="J8" s="1875">
        <f>'XM.GUI MAIL'!I11</f>
        <v>0</v>
      </c>
      <c r="K8" s="1875">
        <f>'XM.GUI MAIL'!P11</f>
        <v>0</v>
      </c>
      <c r="L8" s="1875">
        <f>'XM.GUI MAIL'!W11</f>
        <v>0</v>
      </c>
      <c r="M8" s="1875">
        <f>'XM.GUI MAIL'!AD11</f>
        <v>0</v>
      </c>
      <c r="N8" s="1875">
        <f>'XM.GUI MAIL'!AK11</f>
        <v>0</v>
      </c>
      <c r="O8" s="1875">
        <f>'XM.GUI MAIL'!AR11</f>
        <v>0</v>
      </c>
      <c r="P8" s="1186"/>
      <c r="Q8" s="1186"/>
      <c r="R8" s="1080"/>
      <c r="T8" s="1"/>
    </row>
    <row r="9" spans="1:24" ht="15.75" customHeight="1">
      <c r="A9" s="2" t="s">
        <v>1030</v>
      </c>
      <c r="B9" s="1079"/>
      <c r="C9" s="1079">
        <v>19.25</v>
      </c>
      <c r="D9" s="1079">
        <v>19.5</v>
      </c>
      <c r="E9" s="1079">
        <v>18.8</v>
      </c>
      <c r="F9" s="1079">
        <v>19.8</v>
      </c>
      <c r="G9" s="2006">
        <v>19.7</v>
      </c>
      <c r="H9" s="2010" t="str">
        <f>'XM.GUI MAIL'!$E$12</f>
        <v>60~80</v>
      </c>
      <c r="I9" s="2011" t="str">
        <f>'XM.GUI MAIL'!$F$12</f>
        <v>(70±10)</v>
      </c>
      <c r="J9" s="1863">
        <f>'XM.GUI MAIL'!I12</f>
        <v>0</v>
      </c>
      <c r="K9" s="1863">
        <f>'XM.GUI MAIL'!P12</f>
        <v>77</v>
      </c>
      <c r="L9" s="1863">
        <f>'XM.GUI MAIL'!W12</f>
        <v>78</v>
      </c>
      <c r="M9" s="1863">
        <f>'XM.GUI MAIL'!AD12</f>
        <v>75.2</v>
      </c>
      <c r="N9" s="1863">
        <f>'XM.GUI MAIL'!AK12</f>
        <v>79.2</v>
      </c>
      <c r="O9" s="1863">
        <f>'XM.GUI MAIL'!AR12</f>
        <v>78.8</v>
      </c>
      <c r="P9" s="1186" t="s">
        <v>1138</v>
      </c>
      <c r="Q9" s="1186"/>
      <c r="R9" s="1081">
        <v>4.8000000000000001E-2</v>
      </c>
      <c r="T9" s="1082">
        <v>0.32</v>
      </c>
    </row>
    <row r="10" spans="1:24" ht="15.75" hidden="1" customHeight="1">
      <c r="A10" s="2"/>
      <c r="B10" s="1079"/>
      <c r="C10" s="1079"/>
      <c r="D10" s="1079"/>
      <c r="E10" s="1079"/>
      <c r="F10" s="1079"/>
      <c r="G10" s="2006"/>
      <c r="H10" s="2010" t="s">
        <v>101</v>
      </c>
      <c r="I10" s="2011"/>
      <c r="J10" s="1876">
        <f>'XM.GUI MAIL'!I13</f>
        <v>0</v>
      </c>
      <c r="K10" s="1876">
        <f>'XM.GUI MAIL'!P13</f>
        <v>0</v>
      </c>
      <c r="L10" s="1876">
        <f>'XM.GUI MAIL'!W13</f>
        <v>0</v>
      </c>
      <c r="M10" s="1876">
        <f>'XM.GUI MAIL'!AD13</f>
        <v>0</v>
      </c>
      <c r="N10" s="1876">
        <f>'XM.GUI MAIL'!AK13</f>
        <v>0</v>
      </c>
      <c r="O10" s="1876">
        <f>'XM.GUI MAIL'!AR13</f>
        <v>0</v>
      </c>
      <c r="P10" s="1186"/>
      <c r="Q10" s="1186"/>
      <c r="R10" s="1081"/>
      <c r="T10" s="1082"/>
    </row>
    <row r="11" spans="1:24" ht="15.75" customHeight="1">
      <c r="A11" s="2" t="s">
        <v>1031</v>
      </c>
      <c r="B11" s="1079"/>
      <c r="C11" s="1079">
        <v>18.149999999999999</v>
      </c>
      <c r="D11" s="1079">
        <v>18.100000000000001</v>
      </c>
      <c r="E11" s="1079">
        <v>17.3</v>
      </c>
      <c r="F11" s="1079">
        <v>17</v>
      </c>
      <c r="G11" s="2006">
        <v>17</v>
      </c>
      <c r="H11" s="2010" t="str">
        <f>'XM.GUI MAIL'!$E$14</f>
        <v>60~80</v>
      </c>
      <c r="I11" s="2011" t="str">
        <f>'XM.GUI MAIL'!$F$14</f>
        <v>(70±10)</v>
      </c>
      <c r="J11" s="1863">
        <f>'XM.GUI MAIL'!I14</f>
        <v>0</v>
      </c>
      <c r="K11" s="1863">
        <f>'XM.GUI MAIL'!P14</f>
        <v>72.599999999999994</v>
      </c>
      <c r="L11" s="1863">
        <f>'XM.GUI MAIL'!W14</f>
        <v>72.400000000000006</v>
      </c>
      <c r="M11" s="1863">
        <f>'XM.GUI MAIL'!AD14</f>
        <v>69.2</v>
      </c>
      <c r="N11" s="1863">
        <f>'XM.GUI MAIL'!AK14</f>
        <v>68</v>
      </c>
      <c r="O11" s="1863">
        <f>'XM.GUI MAIL'!AR14</f>
        <v>68</v>
      </c>
      <c r="P11" s="1186" t="s">
        <v>1138</v>
      </c>
      <c r="Q11" s="1186"/>
      <c r="T11" s="1"/>
    </row>
    <row r="12" spans="1:24" ht="15.75" hidden="1" customHeight="1">
      <c r="A12" s="2"/>
      <c r="B12" s="1079"/>
      <c r="C12" s="1079"/>
      <c r="D12" s="1079"/>
      <c r="E12" s="1079"/>
      <c r="F12" s="1079"/>
      <c r="G12" s="2006"/>
      <c r="H12" s="2010" t="s">
        <v>101</v>
      </c>
      <c r="I12" s="2011"/>
      <c r="J12" s="1875">
        <f>'XM.GUI MAIL'!I15</f>
        <v>0</v>
      </c>
      <c r="K12" s="1875">
        <f>'XM.GUI MAIL'!P15</f>
        <v>0</v>
      </c>
      <c r="L12" s="1875">
        <f>'XM.GUI MAIL'!W15</f>
        <v>0</v>
      </c>
      <c r="M12" s="1875">
        <f>'XM.GUI MAIL'!AD15</f>
        <v>0</v>
      </c>
      <c r="N12" s="1875">
        <f>'XM.GUI MAIL'!AK15</f>
        <v>0</v>
      </c>
      <c r="O12" s="1875">
        <f>'XM.GUI MAIL'!AR15</f>
        <v>0</v>
      </c>
      <c r="P12" s="1186"/>
      <c r="Q12" s="1186"/>
      <c r="T12" s="1"/>
    </row>
    <row r="13" spans="1:24" ht="15.75" customHeight="1">
      <c r="A13" s="2" t="s">
        <v>1032</v>
      </c>
      <c r="B13" s="1079"/>
      <c r="C13" s="1079">
        <v>16.7</v>
      </c>
      <c r="D13" s="1079">
        <v>17.600000000000001</v>
      </c>
      <c r="E13" s="1079">
        <v>17.899999999999999</v>
      </c>
      <c r="F13" s="1079">
        <v>17.8</v>
      </c>
      <c r="G13" s="2006">
        <v>17.8</v>
      </c>
      <c r="H13" s="2016" t="str">
        <f>'XM.GUI MAIL'!$E$16</f>
        <v>130 - 150</v>
      </c>
      <c r="I13" s="2017" t="str">
        <f>'XM.GUI MAIL'!$F$16</f>
        <v>(140±7)</v>
      </c>
      <c r="J13" s="1755">
        <f>'XM.GUI MAIL'!I16</f>
        <v>0</v>
      </c>
      <c r="K13" s="1755">
        <f>'XM.GUI MAIL'!P16</f>
        <v>133.6</v>
      </c>
      <c r="L13" s="1755">
        <f>'XM.GUI MAIL'!W16</f>
        <v>140.80000000000001</v>
      </c>
      <c r="M13" s="1755">
        <f>'XM.GUI MAIL'!AD16</f>
        <v>143.19999999999999</v>
      </c>
      <c r="N13" s="1755">
        <f>'XM.GUI MAIL'!AK16</f>
        <v>142.4</v>
      </c>
      <c r="O13" s="1755">
        <f>'XM.GUI MAIL'!AR16</f>
        <v>142.4</v>
      </c>
      <c r="P13" s="1186" t="s">
        <v>1138</v>
      </c>
      <c r="Q13" s="1186"/>
      <c r="R13" s="1080" t="s">
        <v>1033</v>
      </c>
      <c r="T13" s="1" t="s">
        <v>1029</v>
      </c>
    </row>
    <row r="14" spans="1:24" ht="15.75" customHeight="1" thickBot="1">
      <c r="A14" s="2081" t="s">
        <v>1034</v>
      </c>
      <c r="B14" s="2082"/>
      <c r="C14" s="2082">
        <v>9.8000000000000007</v>
      </c>
      <c r="D14" s="2082">
        <v>9.6</v>
      </c>
      <c r="E14" s="2082">
        <v>8.8000000000000007</v>
      </c>
      <c r="F14" s="2082">
        <v>8.3000000000000007</v>
      </c>
      <c r="G14" s="2083">
        <v>8.15</v>
      </c>
      <c r="H14" s="2084" t="str">
        <f>'XM.GUI MAIL'!$E$17</f>
        <v>8~12</v>
      </c>
      <c r="I14" s="2093" t="str">
        <f>'XM.GUI MAIL'!$F$17</f>
        <v>(10±2)</v>
      </c>
      <c r="J14" s="1761">
        <f>'XM.GUI MAIL'!I17</f>
        <v>0</v>
      </c>
      <c r="K14" s="1761">
        <f>'XM.GUI MAIL'!P17</f>
        <v>12.740000000000002</v>
      </c>
      <c r="L14" s="1761">
        <f>'XM.GUI MAIL'!W17</f>
        <v>12.48</v>
      </c>
      <c r="M14" s="1761">
        <f>'XM.GUI MAIL'!AD17</f>
        <v>11.440000000000001</v>
      </c>
      <c r="N14" s="1761">
        <f>'XM.GUI MAIL'!AK17</f>
        <v>10.790000000000001</v>
      </c>
      <c r="O14" s="1761">
        <f>'XM.GUI MAIL'!AR17</f>
        <v>10.595000000000001</v>
      </c>
      <c r="P14" s="1186" t="s">
        <v>1138</v>
      </c>
      <c r="Q14" s="1186"/>
      <c r="R14" s="1081">
        <v>9.6000000000000002E-2</v>
      </c>
      <c r="T14" s="1082">
        <v>0.32</v>
      </c>
    </row>
    <row r="15" spans="1:24" ht="15.75" customHeight="1" thickBot="1">
      <c r="A15" s="2089" t="s">
        <v>1035</v>
      </c>
      <c r="B15" s="2090"/>
      <c r="C15" s="2090">
        <v>11</v>
      </c>
      <c r="D15" s="2090">
        <v>11</v>
      </c>
      <c r="E15" s="2090">
        <v>12.6</v>
      </c>
      <c r="F15" s="2090">
        <v>10.6</v>
      </c>
      <c r="G15" s="2091">
        <v>10.199999999999999</v>
      </c>
      <c r="H15" s="2092" t="str">
        <f>'XM.GUI MAIL'!$E$18</f>
        <v xml:space="preserve">12~18 </v>
      </c>
      <c r="I15" s="2140" t="str">
        <f>'XM.GUI MAIL'!$F$18</f>
        <v>(14±2)</v>
      </c>
      <c r="J15" s="1731">
        <f>'XM.GUI MAIL'!I18</f>
        <v>0</v>
      </c>
      <c r="K15" s="1731">
        <f>'XM.GUI MAIL'!P18</f>
        <v>15.827338129496402</v>
      </c>
      <c r="L15" s="1731">
        <f>'XM.GUI MAIL'!W18</f>
        <v>15.827338129496402</v>
      </c>
      <c r="M15" s="1731">
        <f>'XM.GUI MAIL'!AD18</f>
        <v>18.129496402877699</v>
      </c>
      <c r="N15" s="1731">
        <f>'XM.GUI MAIL'!AK18</f>
        <v>15.25179856115108</v>
      </c>
      <c r="O15" s="1731">
        <f>'XM.GUI MAIL'!AR18</f>
        <v>14.676258992805753</v>
      </c>
      <c r="P15" s="1186" t="s">
        <v>1138</v>
      </c>
      <c r="Q15" s="1186"/>
      <c r="T15" s="1"/>
    </row>
    <row r="16" spans="1:24" ht="15.75" hidden="1" customHeight="1">
      <c r="A16" s="2085"/>
      <c r="B16" s="2086"/>
      <c r="C16" s="2086"/>
      <c r="D16" s="2086"/>
      <c r="E16" s="2086"/>
      <c r="F16" s="2086"/>
      <c r="G16" s="2087"/>
      <c r="H16" s="2088" t="str">
        <f>'XM.GUI MAIL'!$E$19</f>
        <v>1.5~1.9</v>
      </c>
      <c r="I16" s="2094" t="str">
        <f>'XM.GUI MAIL'!$F$19</f>
        <v>(1.7±0.1 )</v>
      </c>
      <c r="J16" s="1761">
        <f>'XM.GUI MAIL'!I19</f>
        <v>0</v>
      </c>
      <c r="K16" s="1761">
        <f>'XM.GUI MAIL'!P19</f>
        <v>1.63</v>
      </c>
      <c r="L16" s="1761">
        <f>'XM.GUI MAIL'!W19</f>
        <v>1.64</v>
      </c>
      <c r="M16" s="1761">
        <f>'XM.GUI MAIL'!AD19</f>
        <v>1.8</v>
      </c>
      <c r="N16" s="1761">
        <f>'XM.GUI MAIL'!AK19</f>
        <v>1.8</v>
      </c>
      <c r="O16" s="1761">
        <f>'XM.GUI MAIL'!AR19</f>
        <v>1.76</v>
      </c>
      <c r="P16" s="1186"/>
      <c r="Q16" s="1186"/>
      <c r="T16" s="1"/>
    </row>
    <row r="17" spans="1:20" ht="15.75" customHeight="1">
      <c r="A17" s="2" t="s">
        <v>1036</v>
      </c>
      <c r="B17" s="1079"/>
      <c r="C17" s="1079">
        <v>3.8</v>
      </c>
      <c r="D17" s="1079">
        <v>4.2</v>
      </c>
      <c r="E17" s="1079">
        <v>4.3</v>
      </c>
      <c r="F17" s="1079">
        <v>4.0999999999999996</v>
      </c>
      <c r="G17" s="2006">
        <v>4.05</v>
      </c>
      <c r="H17" s="2016" t="str">
        <f>'XM.GUI MAIL'!$E$20</f>
        <v xml:space="preserve">40~50 </v>
      </c>
      <c r="I17" s="2017" t="str">
        <f>'XM.GUI MAIL'!$F$20</f>
        <v>(45±5)</v>
      </c>
      <c r="J17" s="1736">
        <f>'XM.GUI MAIL'!I20</f>
        <v>0</v>
      </c>
      <c r="K17" s="1736">
        <f>'XM.GUI MAIL'!P20</f>
        <v>0.43343749999999998</v>
      </c>
      <c r="L17" s="1736">
        <f>'XM.GUI MAIL'!W20</f>
        <v>0.47906250000000006</v>
      </c>
      <c r="M17" s="1736">
        <f>'XM.GUI MAIL'!AD20</f>
        <v>0.49046874999999995</v>
      </c>
      <c r="N17" s="1736">
        <f>'XM.GUI MAIL'!AK20</f>
        <v>0.46765624999999994</v>
      </c>
      <c r="O17" s="1736">
        <f>'XM.GUI MAIL'!AR20</f>
        <v>0.46195312499999991</v>
      </c>
      <c r="P17" s="1186"/>
      <c r="Q17" s="1186"/>
      <c r="R17" s="1080" t="s">
        <v>1037</v>
      </c>
      <c r="T17" s="1" t="s">
        <v>1038</v>
      </c>
    </row>
    <row r="18" spans="1:20" ht="15.75" hidden="1" customHeight="1">
      <c r="A18" s="2" t="s">
        <v>1039</v>
      </c>
      <c r="B18" s="1079"/>
      <c r="C18" s="1079"/>
      <c r="D18" s="1079"/>
      <c r="E18" s="1079"/>
      <c r="F18" s="1079"/>
      <c r="G18" s="2006"/>
      <c r="H18" s="2016" t="str">
        <f>'XM.GUI MAIL'!$E$21</f>
        <v>(22±5) =17~27</v>
      </c>
      <c r="I18" s="2017" t="str">
        <f>'XM.GUI MAIL'!$F$21</f>
        <v>(22±5)</v>
      </c>
      <c r="J18" s="1765">
        <f>'XM.GUI MAIL'!I21</f>
        <v>0</v>
      </c>
      <c r="K18" s="1765">
        <f>'XM.GUI MAIL'!P21</f>
        <v>0</v>
      </c>
      <c r="L18" s="1765">
        <f>'XM.GUI MAIL'!W21</f>
        <v>0</v>
      </c>
      <c r="M18" s="1765">
        <f>'XM.GUI MAIL'!AD21</f>
        <v>0</v>
      </c>
      <c r="N18" s="1765">
        <f>'XM.GUI MAIL'!AK21</f>
        <v>0</v>
      </c>
      <c r="O18" s="1765">
        <f>'XM.GUI MAIL'!AR21</f>
        <v>0</v>
      </c>
      <c r="P18" s="1186"/>
      <c r="Q18" s="1186"/>
      <c r="R18" s="1081">
        <v>0.192</v>
      </c>
      <c r="T18" s="1082">
        <v>0.32</v>
      </c>
    </row>
    <row r="19" spans="1:20" ht="16.5" customHeight="1">
      <c r="A19" s="2" t="s">
        <v>1040</v>
      </c>
      <c r="B19" s="1079"/>
      <c r="C19" s="1079">
        <v>5.9</v>
      </c>
      <c r="D19" s="1079">
        <v>8.1</v>
      </c>
      <c r="E19" s="1079">
        <v>7.5</v>
      </c>
      <c r="F19" s="1079">
        <v>6.7</v>
      </c>
      <c r="G19" s="2006">
        <v>5</v>
      </c>
      <c r="H19" s="2016" t="str">
        <f>'XM.GUI MAIL'!$E$22</f>
        <v>5~15</v>
      </c>
      <c r="I19" s="2017" t="str">
        <f>'XM.GUI MAIL'!$F$22</f>
        <v>(10±3)</v>
      </c>
      <c r="J19" s="1765">
        <f>'XM.GUI MAIL'!I22</f>
        <v>0</v>
      </c>
      <c r="K19" s="1765">
        <f>'XM.GUI MAIL'!P22</f>
        <v>0.13459375000000001</v>
      </c>
      <c r="L19" s="1765">
        <f>'XM.GUI MAIL'!W22</f>
        <v>0.18478124999999998</v>
      </c>
      <c r="M19" s="1765">
        <f>'XM.GUI MAIL'!AD22</f>
        <v>0.17109374999999999</v>
      </c>
      <c r="N19" s="1765">
        <f>'XM.GUI MAIL'!AK22</f>
        <v>0.15284375</v>
      </c>
      <c r="O19" s="1765">
        <f>'XM.GUI MAIL'!AR22</f>
        <v>0.1140625</v>
      </c>
      <c r="P19" s="1186"/>
      <c r="Q19" s="1186"/>
    </row>
    <row r="20" spans="1:20" ht="15.75" customHeight="1">
      <c r="A20" s="1053" t="s">
        <v>1041</v>
      </c>
      <c r="B20" s="1079"/>
      <c r="C20" s="1079"/>
      <c r="D20" s="1079"/>
      <c r="E20" s="1079">
        <v>6.5</v>
      </c>
      <c r="F20" s="1079">
        <v>7.1</v>
      </c>
      <c r="G20" s="1079">
        <v>6</v>
      </c>
      <c r="H20" s="2016" t="str">
        <f>'XM.GUI MAIL'!$E$23</f>
        <v>0.5~1.0</v>
      </c>
      <c r="I20" s="2017" t="str">
        <f>'XM.GUI MAIL'!$F$23</f>
        <v>(0.7±0.1)</v>
      </c>
      <c r="J20" s="1767">
        <f>'XM.GUI MAIL'!I23</f>
        <v>0</v>
      </c>
      <c r="K20" s="1767">
        <f>'XM.GUI MAIL'!P23</f>
        <v>0</v>
      </c>
      <c r="L20" s="1767">
        <f>'XM.GUI MAIL'!W23</f>
        <v>0</v>
      </c>
      <c r="M20" s="1767">
        <f>'XM.GUI MAIL'!AD23</f>
        <v>8.1899999999999994E-3</v>
      </c>
      <c r="N20" s="1767">
        <f>'XM.GUI MAIL'!AK23</f>
        <v>8.9459999999999991E-3</v>
      </c>
      <c r="O20" s="1767">
        <f>'XM.GUI MAIL'!AR23</f>
        <v>7.5599999999999999E-3</v>
      </c>
      <c r="P20" s="1186"/>
      <c r="Q20" s="1186"/>
    </row>
    <row r="21" spans="1:20" ht="19.5" customHeight="1">
      <c r="A21" s="1090" t="s">
        <v>1042</v>
      </c>
      <c r="B21" s="1182"/>
      <c r="C21" s="1182">
        <v>12</v>
      </c>
      <c r="D21" s="1182">
        <v>12</v>
      </c>
      <c r="E21" s="1182">
        <v>12.3</v>
      </c>
      <c r="F21" s="1182"/>
      <c r="G21" s="1182"/>
      <c r="H21" s="2016" t="str">
        <f>'XM.GUI MAIL'!$E$24</f>
        <v>5~10</v>
      </c>
      <c r="I21" s="2017" t="str">
        <f>'XM.GUI MAIL'!$F$24</f>
        <v>(7.5±1)</v>
      </c>
      <c r="J21" s="1833" t="str">
        <f>'XM.GUI MAIL'!I24</f>
        <v/>
      </c>
      <c r="K21" s="1833">
        <f>'XM.GUI MAIL'!P24</f>
        <v>7.6923076923076916</v>
      </c>
      <c r="L21" s="1833">
        <f>'XM.GUI MAIL'!W24</f>
        <v>7.6923076923076916</v>
      </c>
      <c r="M21" s="1833">
        <f>'XM.GUI MAIL'!AD24</f>
        <v>7.8846153846153841</v>
      </c>
      <c r="N21" s="1833" t="str">
        <f>'XM.GUI MAIL'!AK24</f>
        <v xml:space="preserve">ko sx </v>
      </c>
      <c r="O21" s="1833" t="str">
        <f>'XM.GUI MAIL'!AR24</f>
        <v xml:space="preserve">ko sx </v>
      </c>
      <c r="P21" s="1186" t="s">
        <v>1138</v>
      </c>
      <c r="Q21" s="1186"/>
    </row>
    <row r="22" spans="1:20" ht="19.5" customHeight="1">
      <c r="A22" s="1090" t="s">
        <v>1043</v>
      </c>
      <c r="B22" s="1182"/>
      <c r="C22" s="1182">
        <v>2.2799999999999998</v>
      </c>
      <c r="D22" s="1182">
        <v>2.2599999999999998</v>
      </c>
      <c r="E22" s="1182">
        <v>2.4</v>
      </c>
      <c r="F22" s="1182"/>
      <c r="G22" s="2008"/>
      <c r="H22" s="2016" t="str">
        <f>'XM.GUI MAIL'!$E$25</f>
        <v>2.0~2.4</v>
      </c>
      <c r="I22" s="2017" t="str">
        <f>'XM.GUI MAIL'!$F$25</f>
        <v>(2.2±0.1)</v>
      </c>
      <c r="J22" s="2176">
        <f>'XM.GUI MAIL'!I25</f>
        <v>0</v>
      </c>
      <c r="K22" s="2176">
        <f>'XM.GUI MAIL'!P25</f>
        <v>2.2799999999999998</v>
      </c>
      <c r="L22" s="2176">
        <f>'XM.GUI MAIL'!W25</f>
        <v>2.2599999999999998</v>
      </c>
      <c r="M22" s="2176">
        <f>'XM.GUI MAIL'!AD25</f>
        <v>2.4</v>
      </c>
      <c r="N22" s="2176" t="str">
        <f>'XM.GUI MAIL'!AK25</f>
        <v xml:space="preserve">ko sx </v>
      </c>
      <c r="O22" s="2176" t="str">
        <f>'XM.GUI MAIL'!AR25</f>
        <v xml:space="preserve">ko sx </v>
      </c>
      <c r="P22" s="1186" t="s">
        <v>1138</v>
      </c>
      <c r="Q22" s="1186"/>
    </row>
    <row r="23" spans="1:20" ht="21" customHeight="1">
      <c r="A23" s="1183" t="s">
        <v>1130</v>
      </c>
      <c r="B23" s="1184"/>
      <c r="C23" s="1184">
        <v>1.63</v>
      </c>
      <c r="D23" s="1184">
        <v>1.64</v>
      </c>
      <c r="E23" s="1184">
        <v>1.8</v>
      </c>
      <c r="F23" s="1184">
        <v>1.8</v>
      </c>
      <c r="G23" s="2007">
        <v>1.76</v>
      </c>
      <c r="H23" s="2891" t="str">
        <f>'XM.GUI MAIL'!$E$19</f>
        <v>1.5~1.9</v>
      </c>
      <c r="I23" s="2892" t="str">
        <f>'XM.GUI MAIL'!$F$19</f>
        <v>(1.7±0.1 )</v>
      </c>
      <c r="J23" s="2176">
        <f>B23</f>
        <v>0</v>
      </c>
      <c r="K23" s="2176">
        <f t="shared" ref="K23:O23" si="0">C23</f>
        <v>1.63</v>
      </c>
      <c r="L23" s="2176">
        <f t="shared" si="0"/>
        <v>1.64</v>
      </c>
      <c r="M23" s="2176">
        <f t="shared" si="0"/>
        <v>1.8</v>
      </c>
      <c r="N23" s="2176">
        <f t="shared" si="0"/>
        <v>1.8</v>
      </c>
      <c r="O23" s="2176">
        <f t="shared" si="0"/>
        <v>1.76</v>
      </c>
      <c r="P23" s="1186" t="s">
        <v>1138</v>
      </c>
      <c r="Q23" s="1186"/>
    </row>
    <row r="24" spans="1:20" ht="15.75" customHeight="1">
      <c r="H24" s="100"/>
      <c r="I24" s="100"/>
      <c r="J24" s="100"/>
      <c r="K24" s="1"/>
      <c r="L24" s="1"/>
      <c r="M24" s="1"/>
      <c r="N24" s="1"/>
      <c r="O24" s="1"/>
      <c r="Q24" s="1"/>
    </row>
    <row r="25" spans="1:20" ht="22.5" customHeight="1">
      <c r="A25" s="2005" t="s">
        <v>216</v>
      </c>
      <c r="B25" s="1077" t="s">
        <v>1443</v>
      </c>
      <c r="C25" s="1078" t="s">
        <v>1444</v>
      </c>
      <c r="D25" s="1078" t="s">
        <v>1445</v>
      </c>
      <c r="E25" s="1078" t="s">
        <v>1446</v>
      </c>
      <c r="F25" s="1078" t="s">
        <v>1447</v>
      </c>
      <c r="G25" s="1077" t="s">
        <v>1448</v>
      </c>
      <c r="H25" s="2012" t="s">
        <v>1486</v>
      </c>
      <c r="I25" s="2013"/>
      <c r="J25" s="1071" t="s">
        <v>1443</v>
      </c>
      <c r="K25" s="1072" t="s">
        <v>1444</v>
      </c>
      <c r="L25" s="1072" t="s">
        <v>1445</v>
      </c>
      <c r="M25" s="1072" t="s">
        <v>1446</v>
      </c>
      <c r="N25" s="1072" t="s">
        <v>1447</v>
      </c>
      <c r="O25" s="1072" t="s">
        <v>1448</v>
      </c>
      <c r="P25" s="1187" t="s">
        <v>1140</v>
      </c>
      <c r="Q25" s="1"/>
    </row>
    <row r="26" spans="1:20" ht="15.75" customHeight="1">
      <c r="A26" s="2" t="s">
        <v>1026</v>
      </c>
      <c r="B26" s="1079">
        <v>11</v>
      </c>
      <c r="C26" s="1079">
        <v>11.2</v>
      </c>
      <c r="D26" s="1079">
        <v>11.15</v>
      </c>
      <c r="E26" s="1079">
        <v>10.1</v>
      </c>
      <c r="F26" s="1079">
        <v>10.199999999999999</v>
      </c>
      <c r="G26" s="2006">
        <v>10.4</v>
      </c>
      <c r="H26" s="2010" t="str">
        <f>'XM.GUI MAIL'!$E$43</f>
        <v>60~80</v>
      </c>
      <c r="I26" s="2010" t="str">
        <f>'XM.GUI MAIL'!$F$43</f>
        <v>(70±5)</v>
      </c>
      <c r="J26" s="1922">
        <f>'XM.GUI MAIL'!I43</f>
        <v>71.39</v>
      </c>
      <c r="K26" s="1922">
        <f>'XM.GUI MAIL'!P43</f>
        <v>72.688000000000002</v>
      </c>
      <c r="L26" s="1922">
        <f>'XM.GUI MAIL'!W43</f>
        <v>72.363500000000002</v>
      </c>
      <c r="M26" s="1922">
        <f>'XM.GUI MAIL'!AD43</f>
        <v>65.549000000000007</v>
      </c>
      <c r="N26" s="1922">
        <f>'XM.GUI MAIL'!AK43</f>
        <v>66.197999999999993</v>
      </c>
      <c r="O26" s="1922">
        <f>'XM.GUI MAIL'!AR43</f>
        <v>67.496000000000009</v>
      </c>
      <c r="P26" s="1185" t="s">
        <v>1139</v>
      </c>
      <c r="Q26" s="1185"/>
    </row>
    <row r="27" spans="1:20" ht="15.75" hidden="1" customHeight="1">
      <c r="A27" s="2"/>
      <c r="B27" s="1079"/>
      <c r="C27" s="1079"/>
      <c r="D27" s="1079"/>
      <c r="E27" s="1079"/>
      <c r="F27" s="1079"/>
      <c r="G27" s="2006"/>
      <c r="H27" s="2010" t="s">
        <v>977</v>
      </c>
      <c r="I27" s="2010"/>
      <c r="J27" s="1875">
        <f>'XM.GUI MAIL'!I44</f>
        <v>0</v>
      </c>
      <c r="K27" s="1875">
        <f>'XM.GUI MAIL'!P44</f>
        <v>0</v>
      </c>
      <c r="L27" s="1875">
        <f>'XM.GUI MAIL'!W44</f>
        <v>0</v>
      </c>
      <c r="M27" s="1875">
        <f>'XM.GUI MAIL'!AD44</f>
        <v>0</v>
      </c>
      <c r="N27" s="1875">
        <f>'XM.GUI MAIL'!AK44</f>
        <v>0</v>
      </c>
      <c r="O27" s="1875">
        <f>'XM.GUI MAIL'!AR44</f>
        <v>0</v>
      </c>
      <c r="P27" s="1185"/>
      <c r="Q27" s="1185"/>
    </row>
    <row r="28" spans="1:20" ht="15.75" customHeight="1">
      <c r="A28" s="2" t="s">
        <v>1044</v>
      </c>
      <c r="B28" s="1079">
        <v>11.1</v>
      </c>
      <c r="C28" s="1079">
        <v>11.55</v>
      </c>
      <c r="D28" s="1079">
        <v>11.5</v>
      </c>
      <c r="E28" s="1079">
        <v>11.4</v>
      </c>
      <c r="F28" s="1079">
        <v>11.5</v>
      </c>
      <c r="G28" s="2006">
        <v>11.5</v>
      </c>
      <c r="H28" s="2010" t="str">
        <f>'XM.GUI MAIL'!$E$45</f>
        <v>60~80</v>
      </c>
      <c r="I28" s="2010" t="str">
        <f>'XM.GUI MAIL'!$F$45</f>
        <v>(70±5)</v>
      </c>
      <c r="J28" s="1922">
        <f>'XM.GUI MAIL'!I45</f>
        <v>72.039000000000001</v>
      </c>
      <c r="K28" s="1922">
        <f>'XM.GUI MAIL'!P45</f>
        <v>74.959500000000006</v>
      </c>
      <c r="L28" s="1922">
        <f>'XM.GUI MAIL'!W45</f>
        <v>74.635000000000005</v>
      </c>
      <c r="M28" s="1922">
        <f>'XM.GUI MAIL'!AD45</f>
        <v>73.986000000000004</v>
      </c>
      <c r="N28" s="1922">
        <f>'XM.GUI MAIL'!AK45</f>
        <v>74.635000000000005</v>
      </c>
      <c r="O28" s="1922">
        <f>'XM.GUI MAIL'!AR45</f>
        <v>74.635000000000005</v>
      </c>
      <c r="P28" s="1185" t="s">
        <v>1139</v>
      </c>
      <c r="Q28" s="1185"/>
      <c r="R28" s="3085" t="s">
        <v>150</v>
      </c>
      <c r="S28" s="3085"/>
      <c r="T28" s="3085"/>
    </row>
    <row r="29" spans="1:20" ht="15.75" hidden="1" customHeight="1">
      <c r="A29" s="2"/>
      <c r="B29" s="1079"/>
      <c r="C29" s="1079"/>
      <c r="D29" s="1079"/>
      <c r="E29" s="1079"/>
      <c r="F29" s="1079"/>
      <c r="G29" s="2006"/>
      <c r="H29" s="2010" t="s">
        <v>977</v>
      </c>
      <c r="I29" s="2010"/>
      <c r="J29" s="1875">
        <f>'XM.GUI MAIL'!I46</f>
        <v>0</v>
      </c>
      <c r="K29" s="1875">
        <f>'XM.GUI MAIL'!P46</f>
        <v>0</v>
      </c>
      <c r="L29" s="1875">
        <f>'XM.GUI MAIL'!W46</f>
        <v>0</v>
      </c>
      <c r="M29" s="1875">
        <f>'XM.GUI MAIL'!AD46</f>
        <v>0</v>
      </c>
      <c r="N29" s="1875">
        <f>'XM.GUI MAIL'!AK46</f>
        <v>0</v>
      </c>
      <c r="O29" s="1875">
        <f>'XM.GUI MAIL'!AR46</f>
        <v>0</v>
      </c>
      <c r="P29" s="1185"/>
      <c r="Q29" s="1185"/>
      <c r="R29" s="3085"/>
      <c r="S29" s="3085"/>
      <c r="T29" s="3085"/>
    </row>
    <row r="30" spans="1:20" ht="15.75" customHeight="1">
      <c r="A30" s="2" t="s">
        <v>1030</v>
      </c>
      <c r="B30" s="1079">
        <v>11.95</v>
      </c>
      <c r="C30" s="1079">
        <v>13</v>
      </c>
      <c r="D30" s="1079">
        <v>13.3</v>
      </c>
      <c r="E30" s="1079">
        <v>13.5</v>
      </c>
      <c r="F30" s="1079">
        <v>13.2</v>
      </c>
      <c r="G30" s="2006">
        <v>12.9</v>
      </c>
      <c r="H30" s="2010" t="str">
        <f>'XM.GUI MAIL'!$E$47</f>
        <v>50~70</v>
      </c>
      <c r="I30" s="2010" t="str">
        <f>'XM.GUI MAIL'!$F$47</f>
        <v>(60±10)</v>
      </c>
      <c r="J30" s="1922">
        <f>'XM.GUI MAIL'!I47</f>
        <v>55.208999999999996</v>
      </c>
      <c r="K30" s="1922">
        <f>'XM.GUI MAIL'!P47</f>
        <v>60.06</v>
      </c>
      <c r="L30" s="1922">
        <f>'XM.GUI MAIL'!W47</f>
        <v>61.446000000000005</v>
      </c>
      <c r="M30" s="1922">
        <f>'XM.GUI MAIL'!AD47</f>
        <v>62.370000000000005</v>
      </c>
      <c r="N30" s="1922">
        <f>'XM.GUI MAIL'!AK47</f>
        <v>60.983999999999995</v>
      </c>
      <c r="O30" s="1922">
        <f>'XM.GUI MAIL'!AR47</f>
        <v>59.598000000000006</v>
      </c>
      <c r="P30" s="1185" t="s">
        <v>1139</v>
      </c>
      <c r="Q30" s="1185"/>
      <c r="R30" s="3085"/>
      <c r="S30" s="3085"/>
      <c r="T30" s="3085"/>
    </row>
    <row r="31" spans="1:20" ht="15.75" hidden="1" customHeight="1">
      <c r="A31" s="2"/>
      <c r="B31" s="1079"/>
      <c r="C31" s="1079"/>
      <c r="D31" s="1079"/>
      <c r="E31" s="1079"/>
      <c r="F31" s="1079"/>
      <c r="G31" s="2006"/>
      <c r="H31" s="2010" t="s">
        <v>978</v>
      </c>
      <c r="I31" s="2010"/>
      <c r="J31" s="1875">
        <f>'XM.GUI MAIL'!I48</f>
        <v>0</v>
      </c>
      <c r="K31" s="1875">
        <f>'XM.GUI MAIL'!P48</f>
        <v>0</v>
      </c>
      <c r="L31" s="1875">
        <f>'XM.GUI MAIL'!W48</f>
        <v>0</v>
      </c>
      <c r="M31" s="1875">
        <f>'XM.GUI MAIL'!AD48</f>
        <v>0</v>
      </c>
      <c r="N31" s="1875">
        <f>'XM.GUI MAIL'!AK48</f>
        <v>0</v>
      </c>
      <c r="O31" s="1875">
        <f>'XM.GUI MAIL'!AR48</f>
        <v>0</v>
      </c>
      <c r="P31" s="1185"/>
      <c r="Q31" s="1185"/>
      <c r="R31" s="1987"/>
      <c r="S31" s="1987"/>
      <c r="T31" s="1987"/>
    </row>
    <row r="32" spans="1:20" ht="15.75" customHeight="1">
      <c r="A32" s="2" t="s">
        <v>1031</v>
      </c>
      <c r="B32" s="1079">
        <v>12.7</v>
      </c>
      <c r="C32" s="1079">
        <v>13.55</v>
      </c>
      <c r="D32" s="1079">
        <v>13.3</v>
      </c>
      <c r="E32" s="1079">
        <v>12.5</v>
      </c>
      <c r="F32" s="1079">
        <v>14.2</v>
      </c>
      <c r="G32" s="2006">
        <v>14.7</v>
      </c>
      <c r="H32" s="2010" t="str">
        <f>'XM.GUI MAIL'!$E$49</f>
        <v>50~70</v>
      </c>
      <c r="I32" s="2010" t="str">
        <f>'XM.GUI MAIL'!$F$49</f>
        <v>(60±10)</v>
      </c>
      <c r="J32" s="1922">
        <f>'XM.GUI MAIL'!I49</f>
        <v>58.673999999999999</v>
      </c>
      <c r="K32" s="1922">
        <f>'XM.GUI MAIL'!P49</f>
        <v>62.601000000000006</v>
      </c>
      <c r="L32" s="1922">
        <f>'XM.GUI MAIL'!W49</f>
        <v>61.446000000000005</v>
      </c>
      <c r="M32" s="1922">
        <f>'XM.GUI MAIL'!AD49</f>
        <v>57.75</v>
      </c>
      <c r="N32" s="1922">
        <f>'XM.GUI MAIL'!AK49</f>
        <v>65.603999999999999</v>
      </c>
      <c r="O32" s="1922">
        <f>'XM.GUI MAIL'!AR49</f>
        <v>67.914000000000001</v>
      </c>
      <c r="P32" s="1185" t="s">
        <v>1139</v>
      </c>
      <c r="Q32" s="1185"/>
    </row>
    <row r="33" spans="1:19" ht="15.75" hidden="1" customHeight="1">
      <c r="A33" s="2"/>
      <c r="B33" s="1079"/>
      <c r="C33" s="1079"/>
      <c r="D33" s="1079"/>
      <c r="E33" s="1079"/>
      <c r="F33" s="1079"/>
      <c r="G33" s="2006"/>
      <c r="H33" s="2010" t="s">
        <v>978</v>
      </c>
      <c r="I33" s="2010"/>
      <c r="J33" s="1875">
        <f>'XM.GUI MAIL'!I50</f>
        <v>0</v>
      </c>
      <c r="K33" s="1875">
        <f>'XM.GUI MAIL'!P50</f>
        <v>0</v>
      </c>
      <c r="L33" s="1875">
        <f>'XM.GUI MAIL'!W50</f>
        <v>0</v>
      </c>
      <c r="M33" s="1875">
        <f>'XM.GUI MAIL'!AD50</f>
        <v>0</v>
      </c>
      <c r="N33" s="1875">
        <f>'XM.GUI MAIL'!AK50</f>
        <v>0</v>
      </c>
      <c r="O33" s="1875">
        <f>'XM.GUI MAIL'!AR50</f>
        <v>0</v>
      </c>
      <c r="P33" s="1185"/>
      <c r="Q33" s="1185"/>
    </row>
    <row r="34" spans="1:19" ht="15.75" customHeight="1">
      <c r="A34" s="2" t="s">
        <v>1045</v>
      </c>
      <c r="B34" s="1079">
        <v>18.100000000000001</v>
      </c>
      <c r="C34" s="1079">
        <v>18.100000000000001</v>
      </c>
      <c r="D34" s="1079">
        <v>17.899999999999999</v>
      </c>
      <c r="E34" s="1079">
        <v>17.899999999999999</v>
      </c>
      <c r="F34" s="1079">
        <v>18</v>
      </c>
      <c r="G34" s="2006">
        <v>18</v>
      </c>
      <c r="H34" s="2016" t="str">
        <f>'XM.GUI MAIL'!$E$51</f>
        <v>130 - 150</v>
      </c>
      <c r="I34" s="2016" t="str">
        <f>'XM.GUI MAIL'!$F$51</f>
        <v>(140±7)</v>
      </c>
      <c r="J34" s="1755">
        <f>'XM.GUI MAIL'!I51</f>
        <v>144.80000000000001</v>
      </c>
      <c r="K34" s="1755">
        <f>'XM.GUI MAIL'!P51</f>
        <v>144.80000000000001</v>
      </c>
      <c r="L34" s="1755">
        <f>'XM.GUI MAIL'!W51</f>
        <v>143.19999999999999</v>
      </c>
      <c r="M34" s="1755">
        <f>'XM.GUI MAIL'!AD51</f>
        <v>143.19999999999999</v>
      </c>
      <c r="N34" s="1755">
        <f>'XM.GUI MAIL'!AK51</f>
        <v>144</v>
      </c>
      <c r="O34" s="1755">
        <f>'XM.GUI MAIL'!AR51</f>
        <v>144</v>
      </c>
      <c r="P34" s="1185" t="s">
        <v>1139</v>
      </c>
      <c r="Q34" s="1185"/>
      <c r="R34" s="1084" t="s">
        <v>149</v>
      </c>
      <c r="S34" s="1084"/>
    </row>
    <row r="35" spans="1:19" ht="15.75" customHeight="1" thickBot="1">
      <c r="A35" s="2081" t="s">
        <v>1046</v>
      </c>
      <c r="B35" s="2082">
        <v>7.7</v>
      </c>
      <c r="C35" s="2082">
        <v>7.5</v>
      </c>
      <c r="D35" s="2082">
        <v>7.5</v>
      </c>
      <c r="E35" s="2082">
        <v>7.6</v>
      </c>
      <c r="F35" s="2082">
        <v>7.6</v>
      </c>
      <c r="G35" s="2083">
        <v>7.7</v>
      </c>
      <c r="H35" s="2084" t="str">
        <f>'XM.GUI MAIL'!$E$52</f>
        <v>8~12</v>
      </c>
      <c r="I35" s="2084" t="str">
        <f>'XM.GUI MAIL'!$F$52</f>
        <v>(10±2)</v>
      </c>
      <c r="J35" s="1731">
        <f>'XM.GUI MAIL'!I52</f>
        <v>10.01</v>
      </c>
      <c r="K35" s="1731">
        <f>'XM.GUI MAIL'!P52</f>
        <v>9.75</v>
      </c>
      <c r="L35" s="1731">
        <f>'XM.GUI MAIL'!W52</f>
        <v>9.75</v>
      </c>
      <c r="M35" s="1731">
        <f>'XM.GUI MAIL'!AD52</f>
        <v>9.879999999999999</v>
      </c>
      <c r="N35" s="1731">
        <f>'XM.GUI MAIL'!AK52</f>
        <v>9.879999999999999</v>
      </c>
      <c r="O35" s="1731">
        <f>'XM.GUI MAIL'!AR52</f>
        <v>10.01</v>
      </c>
      <c r="P35" s="1185" t="s">
        <v>1139</v>
      </c>
      <c r="Q35" s="1185"/>
    </row>
    <row r="36" spans="1:19" ht="15.75" customHeight="1" thickBot="1">
      <c r="A36" s="2089" t="s">
        <v>1047</v>
      </c>
      <c r="B36" s="2090">
        <v>19.5</v>
      </c>
      <c r="C36" s="2090">
        <v>19.3</v>
      </c>
      <c r="D36" s="2090">
        <v>19.5</v>
      </c>
      <c r="E36" s="2090">
        <v>19.399999999999999</v>
      </c>
      <c r="F36" s="2090">
        <v>19</v>
      </c>
      <c r="G36" s="2091">
        <v>17.8</v>
      </c>
      <c r="H36" s="2092" t="str">
        <f>'XM.GUI MAIL'!$E$53</f>
        <v xml:space="preserve">6~10 </v>
      </c>
      <c r="I36" s="2141" t="str">
        <f>'XM.GUI MAIL'!$F$53</f>
        <v>(7±1)</v>
      </c>
      <c r="J36" s="1731">
        <f>'XM.GUI MAIL'!I53</f>
        <v>7.2160500000000001</v>
      </c>
      <c r="K36" s="1731">
        <f>'XM.GUI MAIL'!P53</f>
        <v>7.13131</v>
      </c>
      <c r="L36" s="1731">
        <f>'XM.GUI MAIL'!W53</f>
        <v>7.2160500000000001</v>
      </c>
      <c r="M36" s="1731">
        <f>'XM.GUI MAIL'!AD53</f>
        <v>7.1736800000000001</v>
      </c>
      <c r="N36" s="1731">
        <f>'XM.GUI MAIL'!AK53</f>
        <v>7.0042</v>
      </c>
      <c r="O36" s="1731">
        <f>'XM.GUI MAIL'!AR53</f>
        <v>6.4957600000000006</v>
      </c>
      <c r="P36" s="1185" t="s">
        <v>1139</v>
      </c>
      <c r="Q36" s="1997"/>
      <c r="R36" s="1073" t="s">
        <v>151</v>
      </c>
    </row>
    <row r="37" spans="1:19" ht="15.75" hidden="1" customHeight="1">
      <c r="A37" s="2085"/>
      <c r="B37" s="2086"/>
      <c r="C37" s="2086"/>
      <c r="D37" s="2086"/>
      <c r="E37" s="2086"/>
      <c r="F37" s="2086"/>
      <c r="G37" s="2087"/>
      <c r="H37" s="2088" t="str">
        <f>'XM.GUI MAIL'!$E$54</f>
        <v>2~2.5</v>
      </c>
      <c r="I37" s="2088" t="str">
        <f>'XM.GUI MAIL'!$F$54</f>
        <v>(2.3±0.1 )</v>
      </c>
      <c r="J37" s="1731">
        <f>'XM.GUI MAIL'!I54</f>
        <v>2.23</v>
      </c>
      <c r="K37" s="1731">
        <f>'XM.GUI MAIL'!P54</f>
        <v>2.2400000000000002</v>
      </c>
      <c r="L37" s="1731">
        <f>'XM.GUI MAIL'!W54</f>
        <v>2.35</v>
      </c>
      <c r="M37" s="1731">
        <f>'XM.GUI MAIL'!AD54</f>
        <v>2.4</v>
      </c>
      <c r="N37" s="1731">
        <f>'XM.GUI MAIL'!AK54</f>
        <v>2.35</v>
      </c>
      <c r="O37" s="1731">
        <f>'XM.GUI MAIL'!AR54</f>
        <v>2.4</v>
      </c>
      <c r="P37" s="1185"/>
      <c r="Q37" s="1997"/>
    </row>
    <row r="38" spans="1:19" ht="15.75" customHeight="1">
      <c r="A38" s="2" t="s">
        <v>1036</v>
      </c>
      <c r="B38" s="1079">
        <v>4.0999999999999996</v>
      </c>
      <c r="C38" s="1079">
        <v>4.2</v>
      </c>
      <c r="D38" s="1079">
        <v>4</v>
      </c>
      <c r="E38" s="1079">
        <v>4</v>
      </c>
      <c r="F38" s="1079">
        <v>3.9</v>
      </c>
      <c r="G38" s="2006">
        <v>4.0999999999999996</v>
      </c>
      <c r="H38" s="2016" t="str">
        <f>'XM.GUI MAIL'!$E$55</f>
        <v xml:space="preserve">40~50 </v>
      </c>
      <c r="I38" s="2016" t="str">
        <f>'XM.GUI MAIL'!$F$55</f>
        <v>(45±5)</v>
      </c>
      <c r="J38" s="1736">
        <f>'XM.GUI MAIL'!I55</f>
        <v>0.46765624999999994</v>
      </c>
      <c r="K38" s="1736">
        <f>'XM.GUI MAIL'!P55</f>
        <v>0.47906250000000006</v>
      </c>
      <c r="L38" s="1736">
        <f>'XM.GUI MAIL'!W55</f>
        <v>0.45624999999999999</v>
      </c>
      <c r="M38" s="1736">
        <f>'XM.GUI MAIL'!AD55</f>
        <v>0.45624999999999999</v>
      </c>
      <c r="N38" s="1736">
        <f>'XM.GUI MAIL'!AK55</f>
        <v>0.44484374999999998</v>
      </c>
      <c r="O38" s="1736">
        <f>'XM.GUI MAIL'!AR55</f>
        <v>0.46765624999999994</v>
      </c>
      <c r="P38" s="1185"/>
      <c r="Q38" s="1185"/>
      <c r="R38" s="1073">
        <f>5*1.162</f>
        <v>5.81</v>
      </c>
      <c r="S38" s="1085" t="s">
        <v>152</v>
      </c>
    </row>
    <row r="39" spans="1:19" ht="15.75" hidden="1" customHeight="1">
      <c r="A39" s="2" t="s">
        <v>1039</v>
      </c>
      <c r="B39" s="1079"/>
      <c r="C39" s="1079"/>
      <c r="D39" s="1079"/>
      <c r="E39" s="1079"/>
      <c r="F39" s="1079"/>
      <c r="G39" s="2006"/>
      <c r="H39" s="2016" t="str">
        <f>'XM.GUI MAIL'!$E$56</f>
        <v>(22±5) =17~27</v>
      </c>
      <c r="I39" s="2016" t="str">
        <f>'XM.GUI MAIL'!$F$56</f>
        <v>(22±5)</v>
      </c>
      <c r="J39" s="1736">
        <f>'XM.GUI MAIL'!I56</f>
        <v>0</v>
      </c>
      <c r="K39" s="1736">
        <f>'XM.GUI MAIL'!P56</f>
        <v>0</v>
      </c>
      <c r="L39" s="1736">
        <f>'XM.GUI MAIL'!W56</f>
        <v>0</v>
      </c>
      <c r="M39" s="1736">
        <f>'XM.GUI MAIL'!AD56</f>
        <v>0</v>
      </c>
      <c r="N39" s="1736">
        <f>'XM.GUI MAIL'!AK56</f>
        <v>0</v>
      </c>
      <c r="O39" s="1736">
        <f>'XM.GUI MAIL'!AR56</f>
        <v>0</v>
      </c>
      <c r="P39" s="1185"/>
      <c r="Q39" s="1185"/>
      <c r="R39" s="1073">
        <f>R38*1000</f>
        <v>5810</v>
      </c>
      <c r="S39" s="1085" t="s">
        <v>153</v>
      </c>
    </row>
    <row r="40" spans="1:19" ht="15.75" customHeight="1">
      <c r="A40" s="2" t="s">
        <v>1040</v>
      </c>
      <c r="B40" s="1079">
        <v>3.5</v>
      </c>
      <c r="C40" s="1079">
        <v>3.6</v>
      </c>
      <c r="D40" s="1079">
        <v>3.85</v>
      </c>
      <c r="E40" s="1079">
        <v>3</v>
      </c>
      <c r="F40" s="1079">
        <v>5</v>
      </c>
      <c r="G40" s="2006">
        <v>4.5</v>
      </c>
      <c r="H40" s="2016" t="str">
        <f>'XM.GUI MAIL'!$E$57</f>
        <v>5~15</v>
      </c>
      <c r="I40" s="2016" t="str">
        <f>'XM.GUI MAIL'!$F$57</f>
        <v>(10±3)</v>
      </c>
      <c r="J40" s="1736">
        <f>'XM.GUI MAIL'!I57</f>
        <v>7.9843750000000005E-2</v>
      </c>
      <c r="K40" s="1736">
        <f>'XM.GUI MAIL'!P57</f>
        <v>8.2125000000000004E-2</v>
      </c>
      <c r="L40" s="1736">
        <f>'XM.GUI MAIL'!W57</f>
        <v>8.7828125000000007E-2</v>
      </c>
      <c r="M40" s="1736">
        <f>'XM.GUI MAIL'!AD57</f>
        <v>6.8437499999999998E-2</v>
      </c>
      <c r="N40" s="1736">
        <f>'XM.GUI MAIL'!AK57</f>
        <v>0.1140625</v>
      </c>
      <c r="O40" s="1736">
        <f>'XM.GUI MAIL'!AR57</f>
        <v>0.10265625</v>
      </c>
      <c r="P40" s="1185"/>
      <c r="Q40" s="1185"/>
    </row>
    <row r="41" spans="1:19" ht="15.75" customHeight="1">
      <c r="A41" s="1053" t="s">
        <v>1041</v>
      </c>
      <c r="B41" s="1079">
        <v>8.8000000000000007</v>
      </c>
      <c r="C41" s="1079">
        <v>10.5</v>
      </c>
      <c r="D41" s="1079">
        <v>8.8000000000000007</v>
      </c>
      <c r="E41" s="1079">
        <v>8.5</v>
      </c>
      <c r="F41" s="1079">
        <v>10</v>
      </c>
      <c r="G41" s="1079">
        <v>8</v>
      </c>
      <c r="H41" s="2016" t="str">
        <f>'XM.GUI MAIL'!$E$58</f>
        <v>0.5~1.5</v>
      </c>
      <c r="I41" s="2016" t="str">
        <f>'XM.GUI MAIL'!$F$58</f>
        <v>(1±0.4)</v>
      </c>
      <c r="J41" s="1767">
        <f>'XM.GUI MAIL'!I58</f>
        <v>1.1088000000000001E-2</v>
      </c>
      <c r="K41" s="1767">
        <f>'XM.GUI MAIL'!P58</f>
        <v>1.3229999999999999E-2</v>
      </c>
      <c r="L41" s="1767">
        <f>'XM.GUI MAIL'!W58</f>
        <v>1.1088000000000001E-2</v>
      </c>
      <c r="M41" s="1767">
        <f>'XM.GUI MAIL'!AD58</f>
        <v>1.0709999999999999E-2</v>
      </c>
      <c r="N41" s="1767">
        <f>'XM.GUI MAIL'!AK58</f>
        <v>1.26E-2</v>
      </c>
      <c r="O41" s="1767">
        <f>'XM.GUI MAIL'!AR58</f>
        <v>1.008E-2</v>
      </c>
      <c r="P41" s="1185"/>
      <c r="Q41" s="1185"/>
    </row>
    <row r="42" spans="1:19" ht="16.5" customHeight="1">
      <c r="A42" s="1090" t="s">
        <v>1042</v>
      </c>
      <c r="B42" s="1182">
        <v>7.25</v>
      </c>
      <c r="C42" s="1182"/>
      <c r="D42" s="1182"/>
      <c r="E42" s="1182">
        <v>7.4</v>
      </c>
      <c r="F42" s="1182"/>
      <c r="G42" s="2008"/>
      <c r="H42" s="2016" t="str">
        <f>'XM.GUI MAIL'!$E$59</f>
        <v>5~8</v>
      </c>
      <c r="I42" s="2016" t="str">
        <f>'XM.GUI MAIL'!$F$59</f>
        <v>(6±0.5)</v>
      </c>
      <c r="J42" s="1833">
        <f>'XM.GUI MAIL'!I59</f>
        <v>7.2000000000000011</v>
      </c>
      <c r="K42" s="1833" t="str">
        <f>'XM.GUI MAIL'!P59</f>
        <v>ko sx</v>
      </c>
      <c r="L42" s="1833" t="str">
        <f>'XM.GUI MAIL'!W59</f>
        <v>ko sx</v>
      </c>
      <c r="M42" s="1833">
        <f>'XM.GUI MAIL'!AD59</f>
        <v>7.32</v>
      </c>
      <c r="N42" s="1833" t="str">
        <f>'XM.GUI MAIL'!AK59</f>
        <v xml:space="preserve">ko sx </v>
      </c>
      <c r="O42" s="1833" t="str">
        <f>'XM.GUI MAIL'!AR59</f>
        <v xml:space="preserve">ko sx </v>
      </c>
      <c r="P42" s="1185" t="s">
        <v>1139</v>
      </c>
      <c r="Q42" s="1185"/>
    </row>
    <row r="43" spans="1:19" ht="16.5" customHeight="1">
      <c r="A43" s="1090" t="s">
        <v>1141</v>
      </c>
      <c r="B43" s="1182">
        <v>2.0299999999999998</v>
      </c>
      <c r="C43" s="1182"/>
      <c r="D43" s="1182"/>
      <c r="E43" s="1182">
        <v>2</v>
      </c>
      <c r="F43" s="1182"/>
      <c r="G43" s="2008"/>
      <c r="H43" s="2016" t="str">
        <f>'XM.GUI MAIL'!$E$60</f>
        <v>1.8~2.4</v>
      </c>
      <c r="I43" s="2016" t="str">
        <f>'XM.GUI MAIL'!$F$60</f>
        <v>(2.1±0.1 )</v>
      </c>
      <c r="J43" s="1761">
        <f>'XM.GUI MAIL'!I60</f>
        <v>2.0299999999999998</v>
      </c>
      <c r="K43" s="1761" t="str">
        <f>'XM.GUI MAIL'!P60</f>
        <v>ko sx</v>
      </c>
      <c r="L43" s="1761" t="str">
        <f>'XM.GUI MAIL'!W60</f>
        <v>ko sx</v>
      </c>
      <c r="M43" s="1761">
        <f>'XM.GUI MAIL'!AD60</f>
        <v>2</v>
      </c>
      <c r="N43" s="1761" t="str">
        <f>'XM.GUI MAIL'!AK60</f>
        <v xml:space="preserve">ko sx </v>
      </c>
      <c r="O43" s="1761" t="str">
        <f>'XM.GUI MAIL'!AR60</f>
        <v xml:space="preserve">ko sx </v>
      </c>
      <c r="P43" s="1185" t="s">
        <v>1139</v>
      </c>
      <c r="Q43" s="1185"/>
    </row>
    <row r="44" spans="1:19" ht="20.25" customHeight="1">
      <c r="A44" s="1183" t="s">
        <v>1135</v>
      </c>
      <c r="B44" s="1184">
        <v>2.23</v>
      </c>
      <c r="C44" s="1184">
        <v>2.2400000000000002</v>
      </c>
      <c r="D44" s="1184">
        <v>2.35</v>
      </c>
      <c r="E44" s="1184">
        <v>2.4</v>
      </c>
      <c r="F44" s="1184">
        <v>2.35</v>
      </c>
      <c r="G44" s="2007">
        <v>2.4</v>
      </c>
      <c r="H44" s="2016" t="str">
        <f>'XM.GUI MAIL'!$E$54</f>
        <v>2~2.5</v>
      </c>
      <c r="I44" s="2016" t="str">
        <f>'XM.GUI MAIL'!$F$54</f>
        <v>(2.3±0.1 )</v>
      </c>
      <c r="J44" s="1731">
        <f>B44</f>
        <v>2.23</v>
      </c>
      <c r="K44" s="1731">
        <f t="shared" ref="K44:O44" si="1">C44</f>
        <v>2.2400000000000002</v>
      </c>
      <c r="L44" s="1731">
        <f t="shared" si="1"/>
        <v>2.35</v>
      </c>
      <c r="M44" s="1731">
        <f t="shared" si="1"/>
        <v>2.4</v>
      </c>
      <c r="N44" s="1731">
        <f t="shared" si="1"/>
        <v>2.35</v>
      </c>
      <c r="O44" s="1731">
        <f t="shared" si="1"/>
        <v>2.4</v>
      </c>
      <c r="P44" s="1185" t="s">
        <v>1139</v>
      </c>
      <c r="Q44" s="1185"/>
    </row>
    <row r="45" spans="1:19" ht="15.75" customHeight="1">
      <c r="H45" s="100"/>
      <c r="I45" s="100"/>
      <c r="J45" s="100"/>
      <c r="K45" s="100"/>
      <c r="L45" s="1"/>
      <c r="M45" s="1"/>
      <c r="N45" s="1"/>
      <c r="O45" s="1"/>
      <c r="Q45" s="1"/>
    </row>
    <row r="46" spans="1:19" ht="21.75" customHeight="1">
      <c r="A46" s="1086" t="s">
        <v>1485</v>
      </c>
      <c r="B46" s="1077" t="s">
        <v>1443</v>
      </c>
      <c r="C46" s="1078" t="s">
        <v>1444</v>
      </c>
      <c r="D46" s="1078" t="s">
        <v>1445</v>
      </c>
      <c r="E46" s="1078" t="s">
        <v>1446</v>
      </c>
      <c r="F46" s="1078" t="s">
        <v>1447</v>
      </c>
      <c r="G46" s="1077" t="s">
        <v>1448</v>
      </c>
      <c r="H46" s="2014" t="s">
        <v>1486</v>
      </c>
      <c r="I46" s="2014"/>
      <c r="J46" s="1071" t="s">
        <v>1443</v>
      </c>
      <c r="K46" s="1072" t="s">
        <v>1444</v>
      </c>
      <c r="L46" s="1072" t="s">
        <v>1445</v>
      </c>
      <c r="M46" s="1072" t="s">
        <v>1446</v>
      </c>
      <c r="N46" s="1072" t="s">
        <v>1447</v>
      </c>
      <c r="O46" s="1072" t="s">
        <v>1448</v>
      </c>
      <c r="P46" s="1187" t="s">
        <v>1140</v>
      </c>
      <c r="Q46" s="1999"/>
    </row>
    <row r="47" spans="1:19" ht="15.75" customHeight="1">
      <c r="A47" s="2" t="s">
        <v>1026</v>
      </c>
      <c r="B47" s="1079">
        <v>7.4</v>
      </c>
      <c r="C47" s="1079">
        <v>7.85</v>
      </c>
      <c r="D47" s="1079">
        <v>7.9</v>
      </c>
      <c r="E47" s="1079"/>
      <c r="F47" s="1079"/>
      <c r="G47" s="2006"/>
      <c r="H47" s="2010" t="str">
        <f>'XM.GUI MAIL'!$E$78</f>
        <v>40~60</v>
      </c>
      <c r="I47" s="2010" t="str">
        <f>'XM.GUI MAIL'!$F$78</f>
        <v>(50±5)</v>
      </c>
      <c r="J47" s="1922">
        <f>'XM.GUI MAIL'!I78</f>
        <v>48.026000000000003</v>
      </c>
      <c r="K47" s="1922">
        <f>'XM.GUI MAIL'!P78</f>
        <v>50.9465</v>
      </c>
      <c r="L47" s="1922">
        <f>'XM.GUI MAIL'!W78</f>
        <v>51.271000000000001</v>
      </c>
      <c r="M47" s="1922">
        <f>'XM.GUI MAIL'!AD78</f>
        <v>0</v>
      </c>
      <c r="N47" s="1922">
        <f>'XM.GUI MAIL'!AK78</f>
        <v>0</v>
      </c>
      <c r="O47" s="1922">
        <f>'XM.GUI MAIL'!AR78</f>
        <v>0</v>
      </c>
      <c r="P47" s="1185" t="s">
        <v>1139</v>
      </c>
    </row>
    <row r="48" spans="1:19" ht="15.75" hidden="1" customHeight="1">
      <c r="A48" s="2"/>
      <c r="B48" s="1079"/>
      <c r="C48" s="1079"/>
      <c r="D48" s="1079"/>
      <c r="E48" s="1079"/>
      <c r="F48" s="1079"/>
      <c r="G48" s="2006"/>
      <c r="H48" s="2010" t="s">
        <v>1260</v>
      </c>
      <c r="I48" s="2010"/>
      <c r="J48" s="1875">
        <f>'XM.GUI MAIL'!I79</f>
        <v>0</v>
      </c>
      <c r="K48" s="1875">
        <f>'XM.GUI MAIL'!P79</f>
        <v>0</v>
      </c>
      <c r="L48" s="1875">
        <f>'XM.GUI MAIL'!W79</f>
        <v>0</v>
      </c>
      <c r="M48" s="1875">
        <f>'XM.GUI MAIL'!AD79</f>
        <v>0</v>
      </c>
      <c r="N48" s="1875">
        <f>'XM.GUI MAIL'!AK79</f>
        <v>0</v>
      </c>
      <c r="O48" s="1875">
        <f>'XM.GUI MAIL'!AR79</f>
        <v>0</v>
      </c>
      <c r="P48" s="1185"/>
    </row>
    <row r="49" spans="1:17" ht="15.75" customHeight="1">
      <c r="A49" s="2" t="s">
        <v>1044</v>
      </c>
      <c r="B49" s="1079">
        <v>7.65</v>
      </c>
      <c r="C49" s="1079">
        <v>7.75</v>
      </c>
      <c r="D49" s="1079">
        <v>7.75</v>
      </c>
      <c r="E49" s="1079"/>
      <c r="F49" s="1079"/>
      <c r="G49" s="2006"/>
      <c r="H49" s="2010" t="str">
        <f>'XM.GUI MAIL'!$E$80</f>
        <v>40~60</v>
      </c>
      <c r="I49" s="2010" t="str">
        <f>'XM.GUI MAIL'!$F$80</f>
        <v>(50±5)</v>
      </c>
      <c r="J49" s="1922">
        <f>'XM.GUI MAIL'!I80</f>
        <v>49.648500000000006</v>
      </c>
      <c r="K49" s="1922">
        <f>'XM.GUI MAIL'!P80</f>
        <v>50.297499999999999</v>
      </c>
      <c r="L49" s="1922">
        <f>'XM.GUI MAIL'!W80</f>
        <v>50.297499999999999</v>
      </c>
      <c r="M49" s="1922">
        <f>'XM.GUI MAIL'!AD80</f>
        <v>0</v>
      </c>
      <c r="N49" s="1922">
        <f>'XM.GUI MAIL'!AK80</f>
        <v>0</v>
      </c>
      <c r="O49" s="1922">
        <f>'XM.GUI MAIL'!AR80</f>
        <v>0</v>
      </c>
      <c r="P49" s="1185" t="s">
        <v>1139</v>
      </c>
    </row>
    <row r="50" spans="1:17" ht="15.75" hidden="1" customHeight="1">
      <c r="A50" s="2"/>
      <c r="B50" s="1079"/>
      <c r="C50" s="1079"/>
      <c r="D50" s="1079"/>
      <c r="E50" s="1079"/>
      <c r="F50" s="1079"/>
      <c r="G50" s="2006"/>
      <c r="H50" s="2010" t="s">
        <v>1260</v>
      </c>
      <c r="I50" s="2010"/>
      <c r="J50" s="1875">
        <f>'XM.GUI MAIL'!I81</f>
        <v>0</v>
      </c>
      <c r="K50" s="1875">
        <f>'XM.GUI MAIL'!P81</f>
        <v>0</v>
      </c>
      <c r="L50" s="1875">
        <f>'XM.GUI MAIL'!W81</f>
        <v>0</v>
      </c>
      <c r="M50" s="1875">
        <f>'XM.GUI MAIL'!AD81</f>
        <v>0</v>
      </c>
      <c r="N50" s="1875">
        <f>'XM.GUI MAIL'!AK81</f>
        <v>0</v>
      </c>
      <c r="O50" s="1875">
        <f>'XM.GUI MAIL'!AR81</f>
        <v>0</v>
      </c>
      <c r="P50" s="1185"/>
    </row>
    <row r="51" spans="1:17" ht="15.75" customHeight="1">
      <c r="A51" s="2" t="s">
        <v>1030</v>
      </c>
      <c r="B51" s="1079">
        <v>13.3</v>
      </c>
      <c r="C51" s="1079">
        <v>13.4</v>
      </c>
      <c r="D51" s="1079">
        <v>13.5</v>
      </c>
      <c r="E51" s="1079"/>
      <c r="F51" s="1079"/>
      <c r="G51" s="2006"/>
      <c r="H51" s="2010" t="str">
        <f>'XM.GUI MAIL'!$E$82</f>
        <v>50~70</v>
      </c>
      <c r="I51" s="2010" t="str">
        <f>'XM.GUI MAIL'!$F$82</f>
        <v>(60±5)</v>
      </c>
      <c r="J51" s="1922">
        <f>'XM.GUI MAIL'!I82</f>
        <v>61.446000000000005</v>
      </c>
      <c r="K51" s="1922">
        <f>'XM.GUI MAIL'!P82</f>
        <v>61.908000000000001</v>
      </c>
      <c r="L51" s="1922">
        <f>'XM.GUI MAIL'!W82</f>
        <v>62.370000000000005</v>
      </c>
      <c r="M51" s="1922">
        <f>'XM.GUI MAIL'!AD82</f>
        <v>0</v>
      </c>
      <c r="N51" s="1922">
        <f>'XM.GUI MAIL'!AK82</f>
        <v>0</v>
      </c>
      <c r="O51" s="1922">
        <f>'XM.GUI MAIL'!AR82</f>
        <v>0</v>
      </c>
      <c r="P51" s="1185" t="s">
        <v>1139</v>
      </c>
    </row>
    <row r="52" spans="1:17" ht="15.75" hidden="1" customHeight="1">
      <c r="A52" s="2"/>
      <c r="B52" s="1079"/>
      <c r="C52" s="1079"/>
      <c r="D52" s="1079"/>
      <c r="E52" s="1079"/>
      <c r="F52" s="1079"/>
      <c r="G52" s="2006"/>
      <c r="H52" s="2010" t="s">
        <v>1261</v>
      </c>
      <c r="I52" s="2010"/>
      <c r="J52" s="1875">
        <f>'XM.GUI MAIL'!I83</f>
        <v>0</v>
      </c>
      <c r="K52" s="1875">
        <f>'XM.GUI MAIL'!P83</f>
        <v>0</v>
      </c>
      <c r="L52" s="1875">
        <f>'XM.GUI MAIL'!W83</f>
        <v>0</v>
      </c>
      <c r="M52" s="1875">
        <f>'XM.GUI MAIL'!AD83</f>
        <v>0</v>
      </c>
      <c r="N52" s="1875">
        <f>'XM.GUI MAIL'!AK83</f>
        <v>0</v>
      </c>
      <c r="O52" s="1875">
        <f>'XM.GUI MAIL'!AR83</f>
        <v>0</v>
      </c>
      <c r="P52" s="1185"/>
    </row>
    <row r="53" spans="1:17" ht="15.75" customHeight="1">
      <c r="A53" s="2" t="s">
        <v>1031</v>
      </c>
      <c r="B53" s="1079">
        <v>12.9</v>
      </c>
      <c r="C53" s="1079">
        <v>13.15</v>
      </c>
      <c r="D53" s="1079">
        <v>13.25</v>
      </c>
      <c r="E53" s="1079"/>
      <c r="F53" s="1079"/>
      <c r="G53" s="2006"/>
      <c r="H53" s="2010" t="str">
        <f>'XM.GUI MAIL'!$E$84</f>
        <v>50~70</v>
      </c>
      <c r="I53" s="2010" t="str">
        <f>'XM.GUI MAIL'!$F$84</f>
        <v>(60±5)</v>
      </c>
      <c r="J53" s="1922">
        <f>'XM.GUI MAIL'!I84</f>
        <v>59.598000000000006</v>
      </c>
      <c r="K53" s="1922">
        <f>'XM.GUI MAIL'!P84</f>
        <v>60.753</v>
      </c>
      <c r="L53" s="1922">
        <f>'XM.GUI MAIL'!W84</f>
        <v>61.215000000000003</v>
      </c>
      <c r="M53" s="1922">
        <f>'XM.GUI MAIL'!AD84</f>
        <v>0</v>
      </c>
      <c r="N53" s="1922">
        <f>'XM.GUI MAIL'!AK84</f>
        <v>0</v>
      </c>
      <c r="O53" s="1922">
        <f>'XM.GUI MAIL'!AR84</f>
        <v>0</v>
      </c>
      <c r="P53" s="1185" t="s">
        <v>1139</v>
      </c>
    </row>
    <row r="54" spans="1:17" ht="15.75" hidden="1" customHeight="1">
      <c r="A54" s="2"/>
      <c r="B54" s="1079"/>
      <c r="C54" s="1079"/>
      <c r="D54" s="1079"/>
      <c r="E54" s="1079"/>
      <c r="F54" s="1079"/>
      <c r="G54" s="2006"/>
      <c r="H54" s="2010" t="s">
        <v>1261</v>
      </c>
      <c r="I54" s="2010"/>
      <c r="J54" s="1875">
        <f>'XM.GUI MAIL'!I85</f>
        <v>0</v>
      </c>
      <c r="K54" s="1875">
        <f>'XM.GUI MAIL'!P85</f>
        <v>0</v>
      </c>
      <c r="L54" s="1875">
        <f>'XM.GUI MAIL'!W85</f>
        <v>0</v>
      </c>
      <c r="M54" s="1875">
        <f>'XM.GUI MAIL'!AD85</f>
        <v>0</v>
      </c>
      <c r="N54" s="1875">
        <f>'XM.GUI MAIL'!AK85</f>
        <v>0</v>
      </c>
      <c r="O54" s="1875">
        <f>'XM.GUI MAIL'!AR85</f>
        <v>0</v>
      </c>
      <c r="P54" s="1185"/>
    </row>
    <row r="55" spans="1:17" ht="15.75" customHeight="1">
      <c r="A55" s="2" t="s">
        <v>0</v>
      </c>
      <c r="B55" s="1079">
        <v>17.8</v>
      </c>
      <c r="C55" s="1079">
        <v>17.899999999999999</v>
      </c>
      <c r="D55" s="1079">
        <v>17.350000000000001</v>
      </c>
      <c r="E55" s="1079"/>
      <c r="F55" s="1079"/>
      <c r="G55" s="2006"/>
      <c r="H55" s="2011" t="str">
        <f>'XM.GUI MAIL'!$E$86</f>
        <v>135~ 145</v>
      </c>
      <c r="I55" s="2011" t="str">
        <f>'XM.GUI MAIL'!$F$86</f>
        <v>(140±5)</v>
      </c>
      <c r="J55" s="1745">
        <f>'XM.GUI MAIL'!I86</f>
        <v>142.4</v>
      </c>
      <c r="K55" s="1745">
        <f>'XM.GUI MAIL'!P86</f>
        <v>143.19999999999999</v>
      </c>
      <c r="L55" s="1745">
        <f>'XM.GUI MAIL'!W86</f>
        <v>138.80000000000001</v>
      </c>
      <c r="M55" s="1745">
        <f>'XM.GUI MAIL'!AD86</f>
        <v>0</v>
      </c>
      <c r="N55" s="1745">
        <f>'XM.GUI MAIL'!AK86</f>
        <v>0</v>
      </c>
      <c r="O55" s="1745">
        <f>'XM.GUI MAIL'!AR86</f>
        <v>0</v>
      </c>
      <c r="P55" s="1185" t="s">
        <v>1139</v>
      </c>
    </row>
    <row r="56" spans="1:17" ht="15.75" customHeight="1" thickBot="1">
      <c r="A56" s="2081" t="s">
        <v>1048</v>
      </c>
      <c r="B56" s="2082">
        <v>6.45</v>
      </c>
      <c r="C56" s="2082">
        <v>6.45</v>
      </c>
      <c r="D56" s="2082">
        <v>6.5</v>
      </c>
      <c r="E56" s="2082"/>
      <c r="F56" s="2082"/>
      <c r="G56" s="2083"/>
      <c r="H56" s="2095" t="str">
        <f>'XM.GUI MAIL'!$E$87</f>
        <v>7~10</v>
      </c>
      <c r="I56" s="2095" t="str">
        <f>'XM.GUI MAIL'!$F$87</f>
        <v>(8.5±1)</v>
      </c>
      <c r="J56" s="1731">
        <f>'XM.GUI MAIL'!I87</f>
        <v>8.3849999999999998</v>
      </c>
      <c r="K56" s="1731">
        <f>'XM.GUI MAIL'!P87</f>
        <v>8.3849999999999998</v>
      </c>
      <c r="L56" s="1731">
        <f>'XM.GUI MAIL'!W87</f>
        <v>8.4500000000000011</v>
      </c>
      <c r="M56" s="1731">
        <f>'XM.GUI MAIL'!AD87</f>
        <v>0</v>
      </c>
      <c r="N56" s="1731">
        <f>'XM.GUI MAIL'!AK87</f>
        <v>0</v>
      </c>
      <c r="O56" s="1731">
        <f>'XM.GUI MAIL'!AR87</f>
        <v>0</v>
      </c>
      <c r="P56" s="1185" t="s">
        <v>1139</v>
      </c>
    </row>
    <row r="57" spans="1:17" ht="17.25" customHeight="1" thickBot="1">
      <c r="A57" s="2089" t="s">
        <v>1133</v>
      </c>
      <c r="B57" s="2090">
        <v>18.350000000000001</v>
      </c>
      <c r="C57" s="2090">
        <v>18.25</v>
      </c>
      <c r="D57" s="2090">
        <v>18.100000000000001</v>
      </c>
      <c r="E57" s="2090"/>
      <c r="F57" s="2090"/>
      <c r="G57" s="2091"/>
      <c r="H57" s="2097" t="str">
        <f>'XM.GUI MAIL'!$E$88</f>
        <v>5~8</v>
      </c>
      <c r="I57" s="2142" t="str">
        <f>'XM.GUI MAIL'!$F$88</f>
        <v>(6±1)</v>
      </c>
      <c r="J57" s="1731">
        <f>'XM.GUI MAIL'!I88</f>
        <v>6.7287950000000007</v>
      </c>
      <c r="K57" s="1731">
        <f>'XM.GUI MAIL'!P88</f>
        <v>6.6864250000000007</v>
      </c>
      <c r="L57" s="1731">
        <f>'XM.GUI MAIL'!W88</f>
        <v>6.6228700000000007</v>
      </c>
      <c r="M57" s="1731">
        <f>'XM.GUI MAIL'!AD88</f>
        <v>-1.0461</v>
      </c>
      <c r="N57" s="1731">
        <f>'XM.GUI MAIL'!AK88</f>
        <v>-1.0461</v>
      </c>
      <c r="O57" s="1731">
        <f>'XM.GUI MAIL'!AR88</f>
        <v>-1.0461</v>
      </c>
      <c r="P57" s="1185" t="s">
        <v>1139</v>
      </c>
      <c r="Q57" s="1997"/>
    </row>
    <row r="58" spans="1:17" ht="15.75" hidden="1" customHeight="1">
      <c r="A58" s="2085"/>
      <c r="B58" s="2086"/>
      <c r="C58" s="2086"/>
      <c r="D58" s="2086"/>
      <c r="E58" s="2086"/>
      <c r="F58" s="2086"/>
      <c r="G58" s="2087"/>
      <c r="H58" s="2096" t="str">
        <f>'XM.GUI MAIL'!$E$89</f>
        <v>2.0~2.4</v>
      </c>
      <c r="I58" s="2096" t="str">
        <f>'XM.GUI MAIL'!$F$89</f>
        <v>(2.2±0.1)</v>
      </c>
      <c r="J58" s="1731">
        <f>'XM.GUI MAIL'!I89</f>
        <v>2.11</v>
      </c>
      <c r="K58" s="1731">
        <f>'XM.GUI MAIL'!P89</f>
        <v>2.1</v>
      </c>
      <c r="L58" s="1731">
        <f>'XM.GUI MAIL'!W89</f>
        <v>2.14</v>
      </c>
      <c r="M58" s="1731">
        <f>'XM.GUI MAIL'!AD89</f>
        <v>0</v>
      </c>
      <c r="N58" s="1731">
        <f>'XM.GUI MAIL'!AK89</f>
        <v>0</v>
      </c>
      <c r="O58" s="1731">
        <f>'XM.GUI MAIL'!AR89</f>
        <v>0</v>
      </c>
      <c r="P58" s="1185"/>
      <c r="Q58" s="1997"/>
    </row>
    <row r="59" spans="1:17" ht="15.75" customHeight="1">
      <c r="A59" s="2" t="s">
        <v>1593</v>
      </c>
      <c r="B59" s="2661">
        <v>1.7</v>
      </c>
      <c r="C59" s="2661">
        <v>2</v>
      </c>
      <c r="D59" s="2661">
        <v>2.16</v>
      </c>
      <c r="E59" s="2661"/>
      <c r="F59" s="2661"/>
      <c r="G59" s="2661"/>
      <c r="H59" s="2015" t="str">
        <f>'XM.GUI MAIL'!E90</f>
        <v>40~50</v>
      </c>
      <c r="I59" s="2015" t="str">
        <f>'XM.GUI MAIL'!F90</f>
        <v>(45±5)</v>
      </c>
      <c r="J59" s="1747">
        <f>'XM.GUI MAIL'!I90</f>
        <v>0.3878125</v>
      </c>
      <c r="K59" s="1747">
        <f>'XM.GUI MAIL'!P90</f>
        <v>0.45624999999999999</v>
      </c>
      <c r="L59" s="1747">
        <f>'XM.GUI MAIL'!W90</f>
        <v>0.49274999999999997</v>
      </c>
      <c r="M59" s="1747">
        <f>'XM.GUI MAIL'!AD90</f>
        <v>0</v>
      </c>
      <c r="N59" s="1747">
        <f>'XM.GUI MAIL'!AK90</f>
        <v>0</v>
      </c>
      <c r="O59" s="1747">
        <f>'XM.GUI MAIL'!AR90</f>
        <v>0</v>
      </c>
      <c r="P59" s="1185"/>
      <c r="Q59" s="1997"/>
    </row>
    <row r="60" spans="1:17" ht="15" hidden="1" customHeight="1">
      <c r="A60" s="2" t="s">
        <v>1551</v>
      </c>
      <c r="B60" s="2661"/>
      <c r="C60" s="1079"/>
      <c r="D60" s="1079"/>
      <c r="E60" s="1079"/>
      <c r="F60" s="1079"/>
      <c r="G60" s="1079"/>
      <c r="H60" s="2015" t="str">
        <f>'XM.GUI MAIL'!E91</f>
        <v>10~20</v>
      </c>
      <c r="I60" s="2015" t="str">
        <f>'XM.GUI MAIL'!F91</f>
        <v>(15±5)</v>
      </c>
      <c r="J60" s="1736">
        <f>'XM.GUI MAIL'!I91</f>
        <v>0</v>
      </c>
      <c r="K60" s="1736">
        <f>'XM.GUI MAIL'!P91</f>
        <v>0</v>
      </c>
      <c r="L60" s="1736">
        <f>'XM.GUI MAIL'!W91</f>
        <v>0</v>
      </c>
      <c r="M60" s="1736">
        <f>'XM.GUI MAIL'!AD91</f>
        <v>0</v>
      </c>
      <c r="N60" s="1736">
        <f>'XM.GUI MAIL'!AK91</f>
        <v>0</v>
      </c>
      <c r="O60" s="1736">
        <f>'XM.GUI MAIL'!AR91</f>
        <v>0</v>
      </c>
      <c r="P60" s="1185"/>
    </row>
    <row r="61" spans="1:17" ht="15.75" customHeight="1">
      <c r="A61" s="2" t="s">
        <v>1552</v>
      </c>
      <c r="B61" s="2661">
        <v>1.96</v>
      </c>
      <c r="C61" s="1079">
        <v>2.06</v>
      </c>
      <c r="D61" s="1079">
        <v>2.12</v>
      </c>
      <c r="E61" s="1079"/>
      <c r="F61" s="1079"/>
      <c r="G61" s="1079"/>
      <c r="H61" s="2015" t="str">
        <f>'XM.GUI MAIL'!E92</f>
        <v>40~50</v>
      </c>
      <c r="I61" s="2015" t="str">
        <f>'XM.GUI MAIL'!F92</f>
        <v>(45±5)</v>
      </c>
      <c r="J61" s="1747">
        <f>'XM.GUI MAIL'!I92</f>
        <v>0.44712499999999994</v>
      </c>
      <c r="K61" s="1747">
        <f>'XM.GUI MAIL'!P92</f>
        <v>0.46993750000000001</v>
      </c>
      <c r="L61" s="1747">
        <f>'XM.GUI MAIL'!W92</f>
        <v>0.48362500000000003</v>
      </c>
      <c r="M61" s="1747">
        <f>'XM.GUI MAIL'!AD92</f>
        <v>0</v>
      </c>
      <c r="N61" s="1747">
        <f>'XM.GUI MAIL'!AK92</f>
        <v>0</v>
      </c>
      <c r="O61" s="1747">
        <f>'XM.GUI MAIL'!AR92</f>
        <v>0</v>
      </c>
      <c r="P61" s="1185"/>
    </row>
    <row r="62" spans="1:17" ht="15.75" customHeight="1">
      <c r="A62" s="2" t="s">
        <v>1553</v>
      </c>
      <c r="B62" s="2661">
        <v>1.98</v>
      </c>
      <c r="C62" s="1079">
        <v>2</v>
      </c>
      <c r="D62" s="1079">
        <v>2</v>
      </c>
      <c r="E62" s="1079"/>
      <c r="F62" s="1079"/>
      <c r="G62" s="1079"/>
      <c r="H62" s="2015" t="str">
        <f>'XM.GUI MAIL'!E93</f>
        <v>40~50</v>
      </c>
      <c r="I62" s="2015" t="str">
        <f>'XM.GUI MAIL'!F93</f>
        <v>(45±5)</v>
      </c>
      <c r="J62" s="1747">
        <f>'XM.GUI MAIL'!I93</f>
        <v>0.45168749999999996</v>
      </c>
      <c r="K62" s="1747">
        <f>'XM.GUI MAIL'!P93</f>
        <v>0.45624999999999999</v>
      </c>
      <c r="L62" s="1747">
        <f>'XM.GUI MAIL'!W93</f>
        <v>0.45624999999999999</v>
      </c>
      <c r="M62" s="1747">
        <f>'XM.GUI MAIL'!AD93</f>
        <v>0</v>
      </c>
      <c r="N62" s="1747">
        <f>'XM.GUI MAIL'!AK93</f>
        <v>0</v>
      </c>
      <c r="O62" s="1747">
        <f>'XM.GUI MAIL'!AR93</f>
        <v>0</v>
      </c>
      <c r="P62" s="1185"/>
    </row>
    <row r="63" spans="1:17" ht="15.75" customHeight="1">
      <c r="A63" s="1054" t="s">
        <v>1049</v>
      </c>
      <c r="B63" s="1079">
        <v>5.9</v>
      </c>
      <c r="C63" s="1079">
        <v>5.6</v>
      </c>
      <c r="D63" s="1079">
        <v>5.8</v>
      </c>
      <c r="E63" s="1079"/>
      <c r="F63" s="1079"/>
      <c r="G63" s="1079"/>
      <c r="H63" s="2015" t="str">
        <f>'XM.GUI MAIL'!$E$94</f>
        <v>0.5~1.0</v>
      </c>
      <c r="I63" s="2015" t="str">
        <f>'XM.GUI MAIL'!$F$94</f>
        <v>(0.7±0.1)</v>
      </c>
      <c r="J63" s="1767">
        <f>'XM.GUI MAIL'!I94</f>
        <v>7.4340000000000005E-3</v>
      </c>
      <c r="K63" s="1767">
        <f>'XM.GUI MAIL'!P94</f>
        <v>7.0559999999999998E-3</v>
      </c>
      <c r="L63" s="1767">
        <f>'XM.GUI MAIL'!W94</f>
        <v>7.3080000000000003E-3</v>
      </c>
      <c r="M63" s="1767">
        <f>'XM.GUI MAIL'!AD94</f>
        <v>0</v>
      </c>
      <c r="N63" s="1767">
        <f>'XM.GUI MAIL'!AK94</f>
        <v>0</v>
      </c>
      <c r="O63" s="1767">
        <f>'XM.GUI MAIL'!AR94</f>
        <v>0</v>
      </c>
      <c r="P63" s="1185"/>
    </row>
    <row r="64" spans="1:17" ht="18" customHeight="1">
      <c r="A64" s="1090" t="s">
        <v>1042</v>
      </c>
      <c r="B64" s="1182">
        <v>5.45</v>
      </c>
      <c r="C64" s="1182">
        <v>5.4</v>
      </c>
      <c r="D64" s="1182">
        <v>5.4</v>
      </c>
      <c r="E64" s="1182"/>
      <c r="F64" s="1182"/>
      <c r="G64" s="1182"/>
      <c r="H64" s="2010" t="str">
        <f>'XM.GUI MAIL'!$E$95</f>
        <v>5~8</v>
      </c>
      <c r="I64" s="2010" t="str">
        <f>'XM.GUI MAIL'!$F$95</f>
        <v>(6±0.5)</v>
      </c>
      <c r="J64" s="2176">
        <f>'XM.GUI MAIL'!I95</f>
        <v>5.76</v>
      </c>
      <c r="K64" s="2176">
        <f>'XM.GUI MAIL'!P95</f>
        <v>5.7200000000000006</v>
      </c>
      <c r="L64" s="2176">
        <f>'XM.GUI MAIL'!W95</f>
        <v>5.7200000000000006</v>
      </c>
      <c r="M64" s="2176" t="str">
        <f>'XM.GUI MAIL'!AD95</f>
        <v/>
      </c>
      <c r="N64" s="2176" t="str">
        <f>'XM.GUI MAIL'!AK95</f>
        <v/>
      </c>
      <c r="O64" s="2176" t="str">
        <f>'XM.GUI MAIL'!AR95</f>
        <v/>
      </c>
      <c r="P64" s="1185" t="s">
        <v>1139</v>
      </c>
    </row>
    <row r="65" spans="1:16" ht="18" customHeight="1">
      <c r="A65" s="1090" t="s">
        <v>1043</v>
      </c>
      <c r="B65" s="1182">
        <v>2.0299999999999998</v>
      </c>
      <c r="C65" s="1182">
        <v>2</v>
      </c>
      <c r="D65" s="1182">
        <v>2.0499999999999998</v>
      </c>
      <c r="E65" s="1182"/>
      <c r="F65" s="1182"/>
      <c r="G65" s="2008"/>
      <c r="H65" s="2010" t="str">
        <f>'XM.GUI MAIL'!$E$96</f>
        <v>1.8~2.4</v>
      </c>
      <c r="I65" s="2010" t="str">
        <f>'XM.GUI MAIL'!$F$96</f>
        <v>(2.1±0.1)</v>
      </c>
      <c r="J65" s="1761">
        <f>'XM.GUI MAIL'!I96</f>
        <v>2.0299999999999998</v>
      </c>
      <c r="K65" s="1761">
        <f>'XM.GUI MAIL'!P96</f>
        <v>2</v>
      </c>
      <c r="L65" s="1761">
        <f>'XM.GUI MAIL'!W96</f>
        <v>2.0499999999999998</v>
      </c>
      <c r="M65" s="1761">
        <f>'XM.GUI MAIL'!AD96</f>
        <v>0</v>
      </c>
      <c r="N65" s="1761">
        <f>'XM.GUI MAIL'!AK96</f>
        <v>0</v>
      </c>
      <c r="O65" s="1761">
        <f>'XM.GUI MAIL'!AR96</f>
        <v>0</v>
      </c>
      <c r="P65" s="1185" t="s">
        <v>1139</v>
      </c>
    </row>
    <row r="66" spans="1:16" ht="18" customHeight="1">
      <c r="A66" s="1183" t="s">
        <v>1134</v>
      </c>
      <c r="B66" s="1184">
        <v>2.11</v>
      </c>
      <c r="C66" s="1184">
        <v>2.1</v>
      </c>
      <c r="D66" s="1184">
        <v>2.14</v>
      </c>
      <c r="E66" s="1184"/>
      <c r="F66" s="1184"/>
      <c r="G66" s="2007"/>
      <c r="H66" s="2010" t="str">
        <f>'XM.GUI MAIL'!$E$89</f>
        <v>2.0~2.4</v>
      </c>
      <c r="I66" s="2010" t="str">
        <f>'XM.GUI MAIL'!$F$89</f>
        <v>(2.2±0.1)</v>
      </c>
      <c r="J66" s="1731">
        <f>B66</f>
        <v>2.11</v>
      </c>
      <c r="K66" s="1731">
        <f t="shared" ref="K66:O66" si="2">C66</f>
        <v>2.1</v>
      </c>
      <c r="L66" s="1731">
        <f t="shared" si="2"/>
        <v>2.14</v>
      </c>
      <c r="M66" s="1731">
        <f t="shared" si="2"/>
        <v>0</v>
      </c>
      <c r="N66" s="1731">
        <f t="shared" si="2"/>
        <v>0</v>
      </c>
      <c r="O66" s="1731">
        <f t="shared" si="2"/>
        <v>0</v>
      </c>
      <c r="P66" s="1185" t="s">
        <v>1139</v>
      </c>
    </row>
    <row r="67" spans="1:16" ht="18" customHeight="1">
      <c r="A67" s="1180" t="s">
        <v>1132</v>
      </c>
      <c r="B67" s="1181"/>
      <c r="C67" s="1181"/>
      <c r="D67" s="1181"/>
      <c r="E67" s="1181"/>
      <c r="F67" s="1181"/>
      <c r="G67" s="2009"/>
      <c r="H67" s="2013" t="str">
        <f>'XM.FILE GOC'!E97</f>
        <v>12~18 %</v>
      </c>
      <c r="I67" s="2013" t="str">
        <f>'XM.FILE GOC'!F97</f>
        <v>(14±2%)</v>
      </c>
      <c r="P67" s="1186" t="s">
        <v>1138</v>
      </c>
    </row>
    <row r="68" spans="1:16" ht="18" customHeight="1">
      <c r="A68" s="1180" t="s">
        <v>1131</v>
      </c>
      <c r="B68" s="1181"/>
      <c r="C68" s="1181"/>
      <c r="D68" s="1181"/>
      <c r="E68" s="1181"/>
      <c r="F68" s="1181"/>
      <c r="G68" s="2009"/>
      <c r="H68" s="2013" t="str">
        <f>'XM.FILE GOC'!E98</f>
        <v>1.5~1.9</v>
      </c>
      <c r="I68" s="2013" t="str">
        <f>'XM.FILE GOC'!F98</f>
        <v>(1.7 ±0.1)</v>
      </c>
      <c r="P68" s="1186" t="s">
        <v>1138</v>
      </c>
    </row>
    <row r="69" spans="1:16" ht="15.75" customHeight="1">
      <c r="H69" s="100"/>
      <c r="I69" s="100"/>
    </row>
    <row r="70" spans="1:16" ht="16.5" customHeight="1">
      <c r="A70" s="1087" t="s">
        <v>1050</v>
      </c>
      <c r="B70" s="1077" t="s">
        <v>1443</v>
      </c>
      <c r="C70" s="1078" t="s">
        <v>1444</v>
      </c>
      <c r="D70" s="1078" t="s">
        <v>1445</v>
      </c>
      <c r="E70" s="1078" t="s">
        <v>1446</v>
      </c>
      <c r="F70" s="1078" t="s">
        <v>1447</v>
      </c>
      <c r="G70" s="1077" t="s">
        <v>1448</v>
      </c>
      <c r="H70" s="2012" t="s">
        <v>1486</v>
      </c>
      <c r="I70" s="2013"/>
      <c r="J70" s="1077" t="s">
        <v>1443</v>
      </c>
      <c r="K70" s="1078" t="s">
        <v>1444</v>
      </c>
      <c r="L70" s="1078" t="s">
        <v>1445</v>
      </c>
      <c r="M70" s="1078" t="s">
        <v>1446</v>
      </c>
      <c r="N70" s="1078" t="s">
        <v>1447</v>
      </c>
      <c r="O70" s="1077" t="s">
        <v>1448</v>
      </c>
      <c r="P70" s="1187" t="s">
        <v>1140</v>
      </c>
    </row>
    <row r="71" spans="1:16" ht="15.75" customHeight="1">
      <c r="A71" s="208" t="s">
        <v>117</v>
      </c>
      <c r="B71" s="1088"/>
      <c r="C71" s="1088"/>
      <c r="D71" s="1088"/>
      <c r="E71" s="1088"/>
      <c r="F71" s="1088"/>
      <c r="G71" s="1088"/>
      <c r="H71" s="897" t="str">
        <f>'XM.GUI MAIL'!$E$99</f>
        <v>5~6</v>
      </c>
      <c r="I71" s="2056" t="str">
        <f>'XM.GUI MAIL'!$F$99</f>
        <v>(5.5± 0.5)</v>
      </c>
      <c r="J71" s="1726" t="str">
        <f>'XM.GUI MAIL'!I126</f>
        <v/>
      </c>
      <c r="K71" s="1726" t="str">
        <f>'XM.GUI MAIL'!P126</f>
        <v/>
      </c>
      <c r="L71" s="1726" t="str">
        <f>'XM.GUI MAIL'!W126</f>
        <v/>
      </c>
      <c r="M71" s="1726" t="str">
        <f>'XM.GUI MAIL'!AD126</f>
        <v/>
      </c>
      <c r="N71" s="1726" t="str">
        <f>'XM.GUI MAIL'!AK126</f>
        <v/>
      </c>
      <c r="O71" s="1726" t="str">
        <f>'XM.GUI MAIL'!AR126</f>
        <v/>
      </c>
      <c r="P71" s="1185" t="s">
        <v>1139</v>
      </c>
    </row>
    <row r="72" spans="1:16" ht="15.75" customHeight="1">
      <c r="A72" s="208" t="s">
        <v>118</v>
      </c>
      <c r="B72" s="1088"/>
      <c r="C72" s="1088"/>
      <c r="D72" s="1088"/>
      <c r="E72" s="1088"/>
      <c r="F72" s="1088"/>
      <c r="G72" s="1088"/>
      <c r="H72" s="897" t="str">
        <f>'XM.GUI MAIL'!$E$100</f>
        <v>130~140</v>
      </c>
      <c r="I72" s="897" t="str">
        <f>'XM.GUI MAIL'!$F$100</f>
        <v>(135 ± 5)</v>
      </c>
      <c r="J72" s="1775">
        <f>'XM.GUI MAIL'!I127</f>
        <v>0</v>
      </c>
      <c r="K72" s="1775">
        <f>'XM.GUI MAIL'!P127</f>
        <v>0</v>
      </c>
      <c r="L72" s="1775">
        <f>'XM.GUI MAIL'!W127</f>
        <v>0</v>
      </c>
      <c r="M72" s="1775">
        <f>'XM.GUI MAIL'!AD127</f>
        <v>0</v>
      </c>
      <c r="N72" s="1775">
        <f>'XM.GUI MAIL'!AK127</f>
        <v>0</v>
      </c>
      <c r="O72" s="1775">
        <f>'XM.GUI MAIL'!AR127</f>
        <v>0</v>
      </c>
      <c r="P72" s="1185" t="s">
        <v>1139</v>
      </c>
    </row>
    <row r="73" spans="1:16" ht="15.75" customHeight="1">
      <c r="A73" s="1089" t="s">
        <v>1014</v>
      </c>
      <c r="B73" s="1088"/>
      <c r="C73" s="1088"/>
      <c r="D73" s="1088"/>
      <c r="E73" s="1088"/>
      <c r="F73" s="1088"/>
      <c r="G73" s="1088"/>
      <c r="H73" s="2013" t="str">
        <f>'XM.FILE GOC'!E101</f>
        <v>3.0-4.5</v>
      </c>
      <c r="I73" s="2013" t="str">
        <f>'XM.FILE GOC'!F101</f>
        <v>(4.3±0.2)</v>
      </c>
      <c r="J73" s="1726">
        <f>'XM.GUI MAIL'!I128</f>
        <v>0</v>
      </c>
      <c r="K73" s="1726">
        <f>'XM.GUI MAIL'!P128</f>
        <v>0</v>
      </c>
      <c r="L73" s="1726">
        <f>'XM.GUI MAIL'!W128</f>
        <v>0</v>
      </c>
      <c r="M73" s="1726">
        <f>'XM.GUI MAIL'!AD128</f>
        <v>0</v>
      </c>
      <c r="N73" s="1726">
        <f>'XM.GUI MAIL'!AK128</f>
        <v>0</v>
      </c>
      <c r="O73" s="1726">
        <f>'XM.GUI MAIL'!AR128</f>
        <v>0</v>
      </c>
      <c r="P73" s="1185" t="s">
        <v>1139</v>
      </c>
    </row>
    <row r="74" spans="1:16" ht="15.75" customHeight="1">
      <c r="A74" s="2765" t="s">
        <v>1627</v>
      </c>
      <c r="B74" s="1088"/>
      <c r="C74" s="1088"/>
      <c r="D74" s="1088"/>
      <c r="E74" s="1088"/>
      <c r="F74" s="1088"/>
      <c r="G74" s="1088"/>
      <c r="H74" s="2013">
        <f>'XM.FILE GOC'!E102</f>
        <v>0</v>
      </c>
      <c r="I74" s="2013">
        <f>'XM.FILE GOC'!F102</f>
        <v>0</v>
      </c>
      <c r="J74" s="1726" t="str">
        <f>'XM.GUI MAIL'!I129</f>
        <v/>
      </c>
      <c r="K74" s="1726" t="str">
        <f>'XM.GUI MAIL'!P129</f>
        <v/>
      </c>
      <c r="L74" s="1726" t="str">
        <f>'XM.GUI MAIL'!W129</f>
        <v/>
      </c>
      <c r="M74" s="1726" t="str">
        <f>'XM.GUI MAIL'!AD129</f>
        <v/>
      </c>
      <c r="N74" s="1726" t="str">
        <f>'XM.GUI MAIL'!AK129</f>
        <v/>
      </c>
      <c r="O74" s="1726" t="str">
        <f>'XM.GUI MAIL'!AR129</f>
        <v/>
      </c>
      <c r="P74" s="1185" t="s">
        <v>1139</v>
      </c>
    </row>
    <row r="76" spans="1:16" ht="15.75" customHeight="1">
      <c r="A76" s="1087" t="s">
        <v>1243</v>
      </c>
      <c r="B76" s="1078" t="s">
        <v>1443</v>
      </c>
    </row>
    <row r="77" spans="1:16" ht="17.25" customHeight="1">
      <c r="A77" s="2" t="s">
        <v>1244</v>
      </c>
      <c r="B77" s="1079"/>
      <c r="E77" s="1305">
        <f>B77*10.6</f>
        <v>0</v>
      </c>
    </row>
    <row r="78" spans="1:16" ht="17.25" customHeight="1">
      <c r="A78" s="2" t="s">
        <v>1245</v>
      </c>
      <c r="B78" s="1079"/>
      <c r="E78" s="1305">
        <f>B78*10.8</f>
        <v>0</v>
      </c>
    </row>
    <row r="79" spans="1:16" ht="17.25" customHeight="1">
      <c r="A79" s="2" t="s">
        <v>1246</v>
      </c>
      <c r="B79" s="1079"/>
      <c r="E79" s="1305">
        <f>B79*10.8</f>
        <v>0</v>
      </c>
    </row>
    <row r="81" spans="1:6" ht="21" customHeight="1">
      <c r="A81" s="1307" t="str">
        <f>MENU!AD9</f>
        <v>2024/08/01</v>
      </c>
      <c r="B81" s="1307"/>
      <c r="C81" s="1307"/>
      <c r="D81" s="1307"/>
      <c r="E81" s="1307"/>
    </row>
    <row r="82" spans="1:6" ht="21" customHeight="1">
      <c r="A82" s="1306" t="s">
        <v>1195</v>
      </c>
      <c r="B82" s="1306" t="s">
        <v>1196</v>
      </c>
      <c r="C82" s="1306" t="s">
        <v>1227</v>
      </c>
      <c r="D82" s="1306" t="s">
        <v>1197</v>
      </c>
      <c r="E82" s="1306" t="s">
        <v>1198</v>
      </c>
    </row>
    <row r="83" spans="1:6" ht="21" customHeight="1">
      <c r="A83" s="1308" t="s">
        <v>1252</v>
      </c>
      <c r="B83" s="1308" t="s">
        <v>1253</v>
      </c>
      <c r="C83" s="1308" t="s">
        <v>1254</v>
      </c>
      <c r="D83" s="1308" t="s">
        <v>1255</v>
      </c>
      <c r="E83" s="1308">
        <f>E77</f>
        <v>0</v>
      </c>
      <c r="F83" s="100" t="s">
        <v>1247</v>
      </c>
    </row>
    <row r="84" spans="1:6" ht="21" customHeight="1">
      <c r="A84" s="1308" t="s">
        <v>1250</v>
      </c>
      <c r="B84" s="1308" t="s">
        <v>1253</v>
      </c>
      <c r="C84" s="1308" t="s">
        <v>1254</v>
      </c>
      <c r="D84" s="1308" t="s">
        <v>1255</v>
      </c>
      <c r="E84" s="1308">
        <f t="shared" ref="E84:E85" si="3">E78</f>
        <v>0</v>
      </c>
      <c r="F84" s="100" t="s">
        <v>1248</v>
      </c>
    </row>
    <row r="85" spans="1:6" ht="21" customHeight="1">
      <c r="A85" s="1308" t="s">
        <v>1251</v>
      </c>
      <c r="B85" s="1308" t="s">
        <v>1253</v>
      </c>
      <c r="C85" s="1308" t="s">
        <v>1254</v>
      </c>
      <c r="D85" s="1308" t="s">
        <v>1255</v>
      </c>
      <c r="E85" s="1308">
        <f t="shared" si="3"/>
        <v>0</v>
      </c>
      <c r="F85" s="100" t="s">
        <v>1248</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72">
    <cfRule type="expression" dxfId="4376" priority="729" stopIfTrue="1">
      <formula>J72&gt;130</formula>
    </cfRule>
    <cfRule type="expression" dxfId="4375" priority="730" stopIfTrue="1">
      <formula>J72&lt;120</formula>
    </cfRule>
  </conditionalFormatting>
  <conditionalFormatting sqref="J71">
    <cfRule type="expression" dxfId="4374" priority="727">
      <formula>J71&lt;5</formula>
    </cfRule>
    <cfRule type="expression" dxfId="4373" priority="728">
      <formula>J71&gt;6</formula>
    </cfRule>
  </conditionalFormatting>
  <conditionalFormatting sqref="J73:J74">
    <cfRule type="cellIs" dxfId="4372" priority="724" operator="between">
      <formula>3</formula>
      <formula>4.099</formula>
    </cfRule>
    <cfRule type="expression" dxfId="4371" priority="725">
      <formula>J73&lt;3</formula>
    </cfRule>
    <cfRule type="expression" dxfId="4370" priority="726">
      <formula>J73&gt;4.5</formula>
    </cfRule>
  </conditionalFormatting>
  <conditionalFormatting sqref="J72">
    <cfRule type="expression" dxfId="4369" priority="722" stopIfTrue="1">
      <formula>J72&gt;130</formula>
    </cfRule>
    <cfRule type="expression" dxfId="4368" priority="723" stopIfTrue="1">
      <formula>J72&lt;120</formula>
    </cfRule>
  </conditionalFormatting>
  <conditionalFormatting sqref="J73:J74">
    <cfRule type="cellIs" dxfId="4367" priority="719" operator="between">
      <formula>3</formula>
      <formula>4.099</formula>
    </cfRule>
    <cfRule type="expression" dxfId="4366" priority="720">
      <formula>J73&lt;3</formula>
    </cfRule>
    <cfRule type="expression" dxfId="4365" priority="721">
      <formula>J73&gt;4.5</formula>
    </cfRule>
  </conditionalFormatting>
  <conditionalFormatting sqref="J71">
    <cfRule type="expression" dxfId="4364" priority="717">
      <formula>J71&lt;5</formula>
    </cfRule>
    <cfRule type="expression" dxfId="4363" priority="718">
      <formula>J71&gt;6</formula>
    </cfRule>
  </conditionalFormatting>
  <conditionalFormatting sqref="K72:O72">
    <cfRule type="expression" dxfId="4362" priority="715" stopIfTrue="1">
      <formula>K72&gt;130</formula>
    </cfRule>
    <cfRule type="expression" dxfId="4361" priority="716" stopIfTrue="1">
      <formula>K72&lt;120</formula>
    </cfRule>
  </conditionalFormatting>
  <conditionalFormatting sqref="K71:O71">
    <cfRule type="expression" dxfId="4360" priority="713">
      <formula>K71&lt;5</formula>
    </cfRule>
    <cfRule type="expression" dxfId="4359" priority="714">
      <formula>K71&gt;6</formula>
    </cfRule>
  </conditionalFormatting>
  <conditionalFormatting sqref="K73:O74">
    <cfRule type="cellIs" dxfId="4358" priority="710" operator="between">
      <formula>3</formula>
      <formula>4.099</formula>
    </cfRule>
    <cfRule type="expression" dxfId="4357" priority="711">
      <formula>K73&lt;3</formula>
    </cfRule>
    <cfRule type="expression" dxfId="4356" priority="712">
      <formula>K73&gt;4.5</formula>
    </cfRule>
  </conditionalFormatting>
  <conditionalFormatting sqref="K72:O72">
    <cfRule type="expression" dxfId="4355" priority="708" stopIfTrue="1">
      <formula>K72&gt;130</formula>
    </cfRule>
    <cfRule type="expression" dxfId="4354" priority="709" stopIfTrue="1">
      <formula>K72&lt;120</formula>
    </cfRule>
  </conditionalFormatting>
  <conditionalFormatting sqref="K73:O74">
    <cfRule type="cellIs" dxfId="4353" priority="705" operator="between">
      <formula>3</formula>
      <formula>4.099</formula>
    </cfRule>
    <cfRule type="expression" dxfId="4352" priority="706">
      <formula>K73&lt;3</formula>
    </cfRule>
    <cfRule type="expression" dxfId="4351" priority="707">
      <formula>K73&gt;4.5</formula>
    </cfRule>
  </conditionalFormatting>
  <conditionalFormatting sqref="K71:O71">
    <cfRule type="expression" dxfId="4350" priority="703">
      <formula>K71&lt;5</formula>
    </cfRule>
    <cfRule type="expression" dxfId="4349" priority="704">
      <formula>K71&gt;6</formula>
    </cfRule>
  </conditionalFormatting>
  <conditionalFormatting sqref="J13:O13 J34:O34">
    <cfRule type="cellIs" dxfId="4348" priority="307" operator="between">
      <formula>130</formula>
      <formula>132.99</formula>
    </cfRule>
    <cfRule type="cellIs" dxfId="4347" priority="308" operator="between">
      <formula>147.1</formula>
      <formula>150</formula>
    </cfRule>
    <cfRule type="expression" dxfId="4346" priority="309">
      <formula>J13&lt;130</formula>
    </cfRule>
    <cfRule type="expression" dxfId="4345" priority="310">
      <formula>J13&gt;150</formula>
    </cfRule>
  </conditionalFormatting>
  <conditionalFormatting sqref="J14:O14 J35:O35">
    <cfRule type="expression" dxfId="4344" priority="305">
      <formula>J14&lt;8</formula>
    </cfRule>
    <cfRule type="expression" dxfId="4343" priority="306">
      <formula>J14&gt;12</formula>
    </cfRule>
  </conditionalFormatting>
  <conditionalFormatting sqref="J16:O16">
    <cfRule type="cellIs" dxfId="4342" priority="302" operator="between">
      <formula>1.6</formula>
      <formula>1.799</formula>
    </cfRule>
    <cfRule type="expression" dxfId="4341" priority="303">
      <formula>J16&lt;1.6</formula>
    </cfRule>
    <cfRule type="expression" dxfId="4340" priority="304">
      <formula>J16&gt;2.2</formula>
    </cfRule>
  </conditionalFormatting>
  <conditionalFormatting sqref="J18:O18 J39:O39">
    <cfRule type="cellIs" dxfId="4339" priority="298" operator="between">
      <formula>15%</formula>
      <formula>16.99%</formula>
    </cfRule>
    <cfRule type="cellIs" dxfId="4338" priority="299" operator="between">
      <formula>27.01%</formula>
      <formula>30%</formula>
    </cfRule>
    <cfRule type="expression" dxfId="4337" priority="300">
      <formula>J18&lt;15%</formula>
    </cfRule>
    <cfRule type="expression" dxfId="4336" priority="301">
      <formula>J18&gt;30%</formula>
    </cfRule>
  </conditionalFormatting>
  <conditionalFormatting sqref="J19:O19">
    <cfRule type="cellIs" dxfId="4335" priority="294" operator="between">
      <formula>5%</formula>
      <formula>6.99%</formula>
    </cfRule>
    <cfRule type="cellIs" dxfId="4334" priority="295" operator="between">
      <formula>12.99%</formula>
      <formula>15%</formula>
    </cfRule>
    <cfRule type="expression" dxfId="4333" priority="296">
      <formula>J19&lt;5%</formula>
    </cfRule>
    <cfRule type="expression" dxfId="4332" priority="297">
      <formula>J19&gt;15%</formula>
    </cfRule>
  </conditionalFormatting>
  <conditionalFormatting sqref="J3:O3 J6:O6">
    <cfRule type="cellIs" dxfId="4331" priority="290" operator="between">
      <formula>20</formula>
      <formula>24.99</formula>
    </cfRule>
    <cfRule type="cellIs" dxfId="4330" priority="291" operator="between">
      <formula>35.1</formula>
      <formula>40</formula>
    </cfRule>
    <cfRule type="expression" dxfId="4329" priority="292">
      <formula>J3&lt;20</formula>
    </cfRule>
    <cfRule type="expression" dxfId="4328" priority="293">
      <formula>J3&gt;40</formula>
    </cfRule>
  </conditionalFormatting>
  <conditionalFormatting sqref="J9:O9 J11:O11">
    <cfRule type="expression" dxfId="4327" priority="288" stopIfTrue="1">
      <formula>J9&gt;80</formula>
    </cfRule>
    <cfRule type="expression" dxfId="4326" priority="289" stopIfTrue="1">
      <formula>J9&lt;60</formula>
    </cfRule>
  </conditionalFormatting>
  <conditionalFormatting sqref="J17:O17 J38:O38">
    <cfRule type="cellIs" dxfId="4325" priority="284" operator="between">
      <formula>30%</formula>
      <formula>39.99%</formula>
    </cfRule>
    <cfRule type="cellIs" dxfId="4324" priority="285" operator="between">
      <formula>50.01%</formula>
      <formula>60%</formula>
    </cfRule>
    <cfRule type="expression" dxfId="4323" priority="286">
      <formula>J17&lt;30%</formula>
    </cfRule>
    <cfRule type="expression" dxfId="4322" priority="287">
      <formula>J17&gt;60%</formula>
    </cfRule>
  </conditionalFormatting>
  <conditionalFormatting sqref="J15:O15">
    <cfRule type="cellIs" dxfId="4321" priority="281" operator="between">
      <formula>16.1</formula>
      <formula>18</formula>
    </cfRule>
    <cfRule type="expression" dxfId="4320" priority="282">
      <formula>J15&lt;12</formula>
    </cfRule>
    <cfRule type="expression" dxfId="4319" priority="283">
      <formula>J15&gt;18</formula>
    </cfRule>
  </conditionalFormatting>
  <conditionalFormatting sqref="J41:O41">
    <cfRule type="cellIs" dxfId="4318" priority="277" operator="between">
      <formula>0.5%</formula>
      <formula>0.599%</formula>
    </cfRule>
    <cfRule type="cellIs" dxfId="4317" priority="278" operator="between">
      <formula>1.41%</formula>
      <formula>1.5%</formula>
    </cfRule>
    <cfRule type="expression" dxfId="4316" priority="279">
      <formula>J41&lt;0.5%</formula>
    </cfRule>
    <cfRule type="expression" dxfId="4315" priority="280">
      <formula>J41&gt;1.5%</formula>
    </cfRule>
  </conditionalFormatting>
  <conditionalFormatting sqref="J37:O37 J44:O44">
    <cfRule type="cellIs" dxfId="4314" priority="227" operator="between">
      <formula>2</formula>
      <formula>2.199</formula>
    </cfRule>
    <cfRule type="cellIs" dxfId="4313" priority="228" operator="between">
      <formula>2.41</formula>
      <formula>2.5</formula>
    </cfRule>
    <cfRule type="expression" dxfId="4312" priority="229">
      <formula>J37&lt;2</formula>
    </cfRule>
    <cfRule type="expression" dxfId="4311" priority="230">
      <formula>J37&gt;2.5</formula>
    </cfRule>
  </conditionalFormatting>
  <conditionalFormatting sqref="J40:O40">
    <cfRule type="expression" dxfId="4310" priority="225">
      <formula>J40&lt;5%</formula>
    </cfRule>
    <cfRule type="expression" dxfId="4309" priority="226">
      <formula>J40&gt;15%</formula>
    </cfRule>
  </conditionalFormatting>
  <conditionalFormatting sqref="J40:O40">
    <cfRule type="cellIs" dxfId="4308" priority="223" operator="between">
      <formula>5%</formula>
      <formula>6.99%</formula>
    </cfRule>
    <cfRule type="cellIs" dxfId="4307" priority="224" operator="between">
      <formula>13.1%</formula>
      <formula>15%</formula>
    </cfRule>
  </conditionalFormatting>
  <conditionalFormatting sqref="J26:O26 J28:O28">
    <cfRule type="cellIs" dxfId="4306" priority="219" operator="between">
      <formula>60</formula>
      <formula>64.99</formula>
    </cfRule>
    <cfRule type="cellIs" dxfId="4305" priority="220" operator="between">
      <formula>75.1</formula>
      <formula>80</formula>
    </cfRule>
    <cfRule type="expression" dxfId="4304" priority="221">
      <formula>J26&lt;60</formula>
    </cfRule>
    <cfRule type="expression" dxfId="4303" priority="222">
      <formula>J26&gt;80</formula>
    </cfRule>
  </conditionalFormatting>
  <conditionalFormatting sqref="J36:O36">
    <cfRule type="cellIs" dxfId="4302" priority="216" operator="between">
      <formula>8.01</formula>
      <formula>10</formula>
    </cfRule>
    <cfRule type="expression" dxfId="4301" priority="217">
      <formula>J36&lt;6</formula>
    </cfRule>
    <cfRule type="expression" dxfId="4300" priority="218">
      <formula>J36&gt;10</formula>
    </cfRule>
  </conditionalFormatting>
  <conditionalFormatting sqref="J30:O30 J32:O32">
    <cfRule type="expression" dxfId="4299" priority="210">
      <formula>J30&lt;50</formula>
    </cfRule>
    <cfRule type="expression" dxfId="4298" priority="211">
      <formula>J30&gt;70</formula>
    </cfRule>
  </conditionalFormatting>
  <conditionalFormatting sqref="J55:O55">
    <cfRule type="expression" dxfId="4297" priority="154" stopIfTrue="1">
      <formula>J55&lt;135</formula>
    </cfRule>
  </conditionalFormatting>
  <conditionalFormatting sqref="J55:O55">
    <cfRule type="expression" dxfId="4296" priority="153" stopIfTrue="1">
      <formula>J55&gt;145</formula>
    </cfRule>
  </conditionalFormatting>
  <conditionalFormatting sqref="J56:O56">
    <cfRule type="expression" dxfId="4295" priority="151">
      <formula>J56&lt;7.5</formula>
    </cfRule>
    <cfRule type="expression" dxfId="4294" priority="152">
      <formula>J56&gt;9.5</formula>
    </cfRule>
  </conditionalFormatting>
  <conditionalFormatting sqref="J57:O57">
    <cfRule type="cellIs" dxfId="4293" priority="148" operator="between">
      <formula>7.01</formula>
      <formula>8</formula>
    </cfRule>
    <cfRule type="expression" dxfId="4292" priority="149">
      <formula>J57&lt;5</formula>
    </cfRule>
    <cfRule type="expression" dxfId="4291" priority="150">
      <formula>J57&gt;8</formula>
    </cfRule>
  </conditionalFormatting>
  <conditionalFormatting sqref="J58:O58">
    <cfRule type="expression" dxfId="4290" priority="146">
      <formula>J58&lt;2</formula>
    </cfRule>
    <cfRule type="expression" dxfId="4289" priority="147">
      <formula>J58&gt;2.4</formula>
    </cfRule>
  </conditionalFormatting>
  <conditionalFormatting sqref="J51:O51 J53:O53">
    <cfRule type="cellIs" dxfId="4288" priority="140" operator="between">
      <formula>50</formula>
      <formula>54.99</formula>
    </cfRule>
    <cfRule type="cellIs" dxfId="4287" priority="141" operator="between">
      <formula>65.01</formula>
      <formula>70</formula>
    </cfRule>
    <cfRule type="expression" dxfId="4286" priority="142">
      <formula>J51&lt;50</formula>
    </cfRule>
    <cfRule type="expression" dxfId="4285" priority="143">
      <formula>J51&gt;70</formula>
    </cfRule>
  </conditionalFormatting>
  <conditionalFormatting sqref="J47:O47 J49:O49">
    <cfRule type="cellIs" dxfId="4284" priority="136" operator="between">
      <formula>40</formula>
      <formula>44.99</formula>
    </cfRule>
    <cfRule type="cellIs" dxfId="4283" priority="137" operator="between">
      <formula>55.1</formula>
      <formula>60</formula>
    </cfRule>
    <cfRule type="expression" dxfId="4282" priority="138">
      <formula>J47&lt;40</formula>
    </cfRule>
    <cfRule type="expression" dxfId="4281" priority="139">
      <formula>J47&gt;60</formula>
    </cfRule>
  </conditionalFormatting>
  <conditionalFormatting sqref="J66">
    <cfRule type="expression" dxfId="4280" priority="107">
      <formula>J66&lt;2</formula>
    </cfRule>
    <cfRule type="expression" dxfId="4279" priority="108">
      <formula>J66&gt;2.4</formula>
    </cfRule>
  </conditionalFormatting>
  <conditionalFormatting sqref="K66:O66">
    <cfRule type="expression" dxfId="4278" priority="105">
      <formula>K66&lt;2</formula>
    </cfRule>
    <cfRule type="expression" dxfId="4277" priority="106">
      <formula>K66&gt;2.4</formula>
    </cfRule>
  </conditionalFormatting>
  <conditionalFormatting sqref="J59">
    <cfRule type="expression" dxfId="4276" priority="103">
      <formula>J59&lt;40%</formula>
    </cfRule>
    <cfRule type="expression" dxfId="4275" priority="104">
      <formula>J59&gt;50%</formula>
    </cfRule>
  </conditionalFormatting>
  <conditionalFormatting sqref="J61:J62">
    <cfRule type="expression" dxfId="4274" priority="101">
      <formula>J61&lt;40%</formula>
    </cfRule>
    <cfRule type="expression" dxfId="4273" priority="102">
      <formula>J61&gt;50%</formula>
    </cfRule>
  </conditionalFormatting>
  <conditionalFormatting sqref="J60">
    <cfRule type="cellIs" dxfId="4272" priority="97" operator="between">
      <formula>5%</formula>
      <formula>6.99%</formula>
    </cfRule>
    <cfRule type="cellIs" dxfId="4271" priority="98" operator="between">
      <formula>9.01%</formula>
      <formula>10%</formula>
    </cfRule>
    <cfRule type="expression" dxfId="4270" priority="99">
      <formula>J60&lt;5%</formula>
    </cfRule>
    <cfRule type="expression" dxfId="4269" priority="100">
      <formula>J60&gt;10%</formula>
    </cfRule>
  </conditionalFormatting>
  <conditionalFormatting sqref="K59:O59">
    <cfRule type="expression" dxfId="4268" priority="95">
      <formula>K59&lt;40%</formula>
    </cfRule>
    <cfRule type="expression" dxfId="4267" priority="96">
      <formula>K59&gt;50%</formula>
    </cfRule>
  </conditionalFormatting>
  <conditionalFormatting sqref="K61:O62">
    <cfRule type="expression" dxfId="4266" priority="93">
      <formula>K61&lt;40%</formula>
    </cfRule>
    <cfRule type="expression" dxfId="4265" priority="94">
      <formula>K61&gt;50%</formula>
    </cfRule>
  </conditionalFormatting>
  <conditionalFormatting sqref="K60:O60">
    <cfRule type="cellIs" dxfId="4264" priority="89" operator="between">
      <formula>5%</formula>
      <formula>6.99%</formula>
    </cfRule>
    <cfRule type="cellIs" dxfId="4263" priority="90" operator="between">
      <formula>9.01%</formula>
      <formula>10%</formula>
    </cfRule>
    <cfRule type="expression" dxfId="4262" priority="91">
      <formula>K60&lt;5%</formula>
    </cfRule>
    <cfRule type="expression" dxfId="4261" priority="92">
      <formula>K60&gt;10%</formula>
    </cfRule>
  </conditionalFormatting>
  <conditionalFormatting sqref="J23">
    <cfRule type="cellIs" dxfId="4260" priority="85" operator="between">
      <formula>1.5</formula>
      <formula>1.599</formula>
    </cfRule>
    <cfRule type="cellIs" dxfId="4259" priority="86" operator="between">
      <formula>1.811</formula>
      <formula>1.9</formula>
    </cfRule>
    <cfRule type="expression" dxfId="4258" priority="87">
      <formula>J23&lt;1.5</formula>
    </cfRule>
    <cfRule type="expression" dxfId="4257" priority="88">
      <formula>J23&gt;1.9</formula>
    </cfRule>
  </conditionalFormatting>
  <conditionalFormatting sqref="K23">
    <cfRule type="cellIs" dxfId="4256" priority="81" operator="between">
      <formula>1.5</formula>
      <formula>1.599</formula>
    </cfRule>
    <cfRule type="cellIs" dxfId="4255" priority="82" operator="between">
      <formula>1.811</formula>
      <formula>1.9</formula>
    </cfRule>
    <cfRule type="expression" dxfId="4254" priority="83">
      <formula>K23&lt;1.5</formula>
    </cfRule>
    <cfRule type="expression" dxfId="4253" priority="84">
      <formula>K23&gt;1.9</formula>
    </cfRule>
  </conditionalFormatting>
  <conditionalFormatting sqref="L23">
    <cfRule type="cellIs" dxfId="4252" priority="77" operator="between">
      <formula>1.5</formula>
      <formula>1.599</formula>
    </cfRule>
    <cfRule type="cellIs" dxfId="4251" priority="78" operator="between">
      <formula>1.811</formula>
      <formula>1.9</formula>
    </cfRule>
    <cfRule type="expression" dxfId="4250" priority="79">
      <formula>L23&lt;1.5</formula>
    </cfRule>
    <cfRule type="expression" dxfId="4249" priority="80">
      <formula>L23&gt;1.9</formula>
    </cfRule>
  </conditionalFormatting>
  <conditionalFormatting sqref="M23">
    <cfRule type="cellIs" dxfId="4248" priority="73" operator="between">
      <formula>1.5</formula>
      <formula>1.599</formula>
    </cfRule>
    <cfRule type="cellIs" dxfId="4247" priority="74" operator="between">
      <formula>1.811</formula>
      <formula>1.9</formula>
    </cfRule>
    <cfRule type="expression" dxfId="4246" priority="75">
      <formula>M23&lt;1.5</formula>
    </cfRule>
    <cfRule type="expression" dxfId="4245" priority="76">
      <formula>M23&gt;1.9</formula>
    </cfRule>
  </conditionalFormatting>
  <conditionalFormatting sqref="N23">
    <cfRule type="cellIs" dxfId="4244" priority="69" operator="between">
      <formula>1.5</formula>
      <formula>1.599</formula>
    </cfRule>
    <cfRule type="cellIs" dxfId="4243" priority="70" operator="between">
      <formula>1.811</formula>
      <formula>1.9</formula>
    </cfRule>
    <cfRule type="expression" dxfId="4242" priority="71">
      <formula>N23&lt;1.5</formula>
    </cfRule>
    <cfRule type="expression" dxfId="4241" priority="72">
      <formula>N23&gt;1.9</formula>
    </cfRule>
  </conditionalFormatting>
  <conditionalFormatting sqref="O23">
    <cfRule type="cellIs" dxfId="4240" priority="65" operator="between">
      <formula>1.5</formula>
      <formula>1.599</formula>
    </cfRule>
    <cfRule type="cellIs" dxfId="4239" priority="66" operator="between">
      <formula>1.811</formula>
      <formula>1.9</formula>
    </cfRule>
    <cfRule type="expression" dxfId="4238" priority="67">
      <formula>O23&lt;1.5</formula>
    </cfRule>
    <cfRule type="expression" dxfId="4237" priority="68">
      <formula>O23&gt;1.9</formula>
    </cfRule>
  </conditionalFormatting>
  <conditionalFormatting sqref="J21">
    <cfRule type="cellIs" dxfId="4236" priority="61" operator="between">
      <formula>5</formula>
      <formula>6.49</formula>
    </cfRule>
    <cfRule type="cellIs" dxfId="4235" priority="62" operator="between">
      <formula>8.51</formula>
      <formula>10</formula>
    </cfRule>
    <cfRule type="expression" dxfId="4234" priority="63">
      <formula>J21&lt;5</formula>
    </cfRule>
    <cfRule type="expression" dxfId="4233" priority="64">
      <formula>J21&gt;10</formula>
    </cfRule>
  </conditionalFormatting>
  <conditionalFormatting sqref="J22">
    <cfRule type="cellIs" dxfId="4232" priority="57" operator="between">
      <formula>2</formula>
      <formula>2.099</formula>
    </cfRule>
    <cfRule type="cellIs" dxfId="4231" priority="58" operator="between">
      <formula>2.31</formula>
      <formula>2.4</formula>
    </cfRule>
    <cfRule type="expression" dxfId="4230" priority="59">
      <formula>J22&lt;2</formula>
    </cfRule>
    <cfRule type="expression" dxfId="4229" priority="60">
      <formula>J22&gt;2.4</formula>
    </cfRule>
  </conditionalFormatting>
  <conditionalFormatting sqref="K21">
    <cfRule type="cellIs" dxfId="4228" priority="53" operator="between">
      <formula>5</formula>
      <formula>6.49</formula>
    </cfRule>
    <cfRule type="cellIs" dxfId="4227" priority="54" operator="between">
      <formula>8.51</formula>
      <formula>10</formula>
    </cfRule>
    <cfRule type="expression" dxfId="4226" priority="55">
      <formula>K21&lt;5</formula>
    </cfRule>
    <cfRule type="expression" dxfId="4225" priority="56">
      <formula>K21&gt;10</formula>
    </cfRule>
  </conditionalFormatting>
  <conditionalFormatting sqref="K22">
    <cfRule type="cellIs" dxfId="4224" priority="49" operator="between">
      <formula>2</formula>
      <formula>2.099</formula>
    </cfRule>
    <cfRule type="cellIs" dxfId="4223" priority="50" operator="between">
      <formula>2.31</formula>
      <formula>2.4</formula>
    </cfRule>
    <cfRule type="expression" dxfId="4222" priority="51">
      <formula>K22&lt;2</formula>
    </cfRule>
    <cfRule type="expression" dxfId="4221" priority="52">
      <formula>K22&gt;2.4</formula>
    </cfRule>
  </conditionalFormatting>
  <conditionalFormatting sqref="L21:O21">
    <cfRule type="cellIs" dxfId="4220" priority="45" operator="between">
      <formula>5</formula>
      <formula>6.49</formula>
    </cfRule>
    <cfRule type="cellIs" dxfId="4219" priority="46" operator="between">
      <formula>8.51</formula>
      <formula>10</formula>
    </cfRule>
    <cfRule type="expression" dxfId="4218" priority="47">
      <formula>L21&lt;5</formula>
    </cfRule>
    <cfRule type="expression" dxfId="4217" priority="48">
      <formula>L21&gt;10</formula>
    </cfRule>
  </conditionalFormatting>
  <conditionalFormatting sqref="L22:O22">
    <cfRule type="cellIs" dxfId="4216" priority="41" operator="between">
      <formula>2</formula>
      <formula>2.099</formula>
    </cfRule>
    <cfRule type="cellIs" dxfId="4215" priority="42" operator="between">
      <formula>2.31</formula>
      <formula>2.4</formula>
    </cfRule>
    <cfRule type="expression" dxfId="4214" priority="43">
      <formula>L22&lt;2</formula>
    </cfRule>
    <cfRule type="expression" dxfId="4213" priority="44">
      <formula>L22&gt;2.4</formula>
    </cfRule>
  </conditionalFormatting>
  <conditionalFormatting sqref="J20">
    <cfRule type="cellIs" dxfId="4212" priority="37" operator="between">
      <formula>0.5%</formula>
      <formula>0.599%</formula>
    </cfRule>
    <cfRule type="cellIs" dxfId="4211" priority="38" operator="between">
      <formula>0.81%</formula>
      <formula>1%</formula>
    </cfRule>
    <cfRule type="expression" dxfId="4210" priority="39">
      <formula>J20&lt;0.5%</formula>
    </cfRule>
    <cfRule type="expression" dxfId="4209" priority="40">
      <formula>J20&gt;1%</formula>
    </cfRule>
  </conditionalFormatting>
  <conditionalFormatting sqref="K20:O20">
    <cfRule type="cellIs" dxfId="4208" priority="33" operator="between">
      <formula>0.5%</formula>
      <formula>0.599%</formula>
    </cfRule>
    <cfRule type="cellIs" dxfId="4207" priority="34" operator="between">
      <formula>0.81%</formula>
      <formula>1%</formula>
    </cfRule>
    <cfRule type="expression" dxfId="4206" priority="35">
      <formula>K20&lt;0.5%</formula>
    </cfRule>
    <cfRule type="expression" dxfId="4205" priority="36">
      <formula>K20&gt;1%</formula>
    </cfRule>
  </conditionalFormatting>
  <conditionalFormatting sqref="J63">
    <cfRule type="cellIs" dxfId="4204" priority="29" operator="between">
      <formula>0.5%</formula>
      <formula>0.599%</formula>
    </cfRule>
    <cfRule type="cellIs" dxfId="4203" priority="30" operator="between">
      <formula>0.81%</formula>
      <formula>1%</formula>
    </cfRule>
    <cfRule type="expression" dxfId="4202" priority="31">
      <formula>J63&lt;0.5%</formula>
    </cfRule>
    <cfRule type="expression" dxfId="4201" priority="32">
      <formula>J63&gt;1%</formula>
    </cfRule>
  </conditionalFormatting>
  <conditionalFormatting sqref="K63:O63">
    <cfRule type="cellIs" dxfId="4200" priority="25" operator="between">
      <formula>0.5%</formula>
      <formula>0.599%</formula>
    </cfRule>
    <cfRule type="cellIs" dxfId="4199" priority="26" operator="between">
      <formula>0.81%</formula>
      <formula>1%</formula>
    </cfRule>
    <cfRule type="expression" dxfId="4198" priority="27">
      <formula>K63&lt;0.5%</formula>
    </cfRule>
    <cfRule type="expression" dxfId="4197" priority="28">
      <formula>K63&gt;1%</formula>
    </cfRule>
  </conditionalFormatting>
  <conditionalFormatting sqref="J64">
    <cfRule type="cellIs" dxfId="4196" priority="21" operator="between">
      <formula>5</formula>
      <formula>5.499</formula>
    </cfRule>
    <cfRule type="cellIs" dxfId="4195" priority="22" operator="between">
      <formula>6.51</formula>
      <formula>8</formula>
    </cfRule>
    <cfRule type="expression" dxfId="4194" priority="23">
      <formula>J64&lt;5</formula>
    </cfRule>
    <cfRule type="expression" dxfId="4193" priority="24">
      <formula>J64&gt;8</formula>
    </cfRule>
  </conditionalFormatting>
  <conditionalFormatting sqref="J65">
    <cfRule type="cellIs" dxfId="4192" priority="17" operator="between">
      <formula>1.8</formula>
      <formula>1.999</formula>
    </cfRule>
    <cfRule type="cellIs" dxfId="4191" priority="18" operator="between">
      <formula>2.21</formula>
      <formula>2.4</formula>
    </cfRule>
    <cfRule type="expression" dxfId="4190" priority="19">
      <formula>J65&lt;1.8</formula>
    </cfRule>
    <cfRule type="expression" dxfId="4189" priority="20">
      <formula>J65&gt;2.4</formula>
    </cfRule>
  </conditionalFormatting>
  <conditionalFormatting sqref="K64:O64">
    <cfRule type="cellIs" dxfId="4188" priority="13" operator="between">
      <formula>5</formula>
      <formula>5.499</formula>
    </cfRule>
    <cfRule type="cellIs" dxfId="4187" priority="14" operator="between">
      <formula>6.51</formula>
      <formula>8</formula>
    </cfRule>
    <cfRule type="expression" dxfId="4186" priority="15">
      <formula>K64&lt;5</formula>
    </cfRule>
    <cfRule type="expression" dxfId="4185" priority="16">
      <formula>K64&gt;8</formula>
    </cfRule>
  </conditionalFormatting>
  <conditionalFormatting sqref="K65:O65">
    <cfRule type="cellIs" dxfId="4184" priority="9" operator="between">
      <formula>1.8</formula>
      <formula>1.999</formula>
    </cfRule>
    <cfRule type="cellIs" dxfId="4183" priority="10" operator="between">
      <formula>2.21</formula>
      <formula>2.4</formula>
    </cfRule>
    <cfRule type="expression" dxfId="4182" priority="11">
      <formula>K65&lt;1.8</formula>
    </cfRule>
    <cfRule type="expression" dxfId="4181" priority="12">
      <formula>K65&gt;2.4</formula>
    </cfRule>
  </conditionalFormatting>
  <conditionalFormatting sqref="J42:O42">
    <cfRule type="cellIs" dxfId="4180" priority="5" operator="between">
      <formula>5</formula>
      <formula>5.499</formula>
    </cfRule>
    <cfRule type="cellIs" dxfId="4179" priority="6" operator="between">
      <formula>6.51</formula>
      <formula>8</formula>
    </cfRule>
    <cfRule type="expression" dxfId="4178" priority="7">
      <formula>J42&lt;5</formula>
    </cfRule>
    <cfRule type="expression" dxfId="4177" priority="8">
      <formula>J42&gt;8</formula>
    </cfRule>
  </conditionalFormatting>
  <conditionalFormatting sqref="J43:O43">
    <cfRule type="cellIs" dxfId="4176" priority="1" operator="between">
      <formula>1.8</formula>
      <formula>1.999</formula>
    </cfRule>
    <cfRule type="cellIs" dxfId="4175" priority="2" operator="between">
      <formula>2.21</formula>
      <formula>2.4</formula>
    </cfRule>
    <cfRule type="expression" dxfId="4174" priority="3">
      <formula>J43&lt;1.8</formula>
    </cfRule>
    <cfRule type="expression" dxfId="4173" priority="4">
      <formula>J43&gt;2.4</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G134"/>
  <sheetViews>
    <sheetView showGridLines="0" tabSelected="1" zoomScale="55" zoomScaleNormal="55" workbookViewId="0">
      <pane xSplit="8" ySplit="2" topLeftCell="I52" activePane="bottomRight" state="frozen"/>
      <selection pane="topRight" activeCell="I1" sqref="I1"/>
      <selection pane="bottomLeft" activeCell="A3" sqref="A3"/>
      <selection pane="bottomRight" activeCell="AR6" sqref="AR6:AY58"/>
    </sheetView>
  </sheetViews>
  <sheetFormatPr defaultRowHeight="15.75"/>
  <cols>
    <col min="1" max="1" width="12.375" style="264" customWidth="1"/>
    <col min="2" max="2" width="16.25" style="264" hidden="1" customWidth="1"/>
    <col min="3" max="3" width="32.125" style="264" customWidth="1"/>
    <col min="4" max="4" width="12.25" style="264" customWidth="1"/>
    <col min="5" max="5" width="15.375" style="12" customWidth="1"/>
    <col min="6" max="6" width="12.375" style="264" customWidth="1"/>
    <col min="7" max="7" width="13.125" style="12" hidden="1" customWidth="1"/>
    <col min="8" max="8" width="13.125" style="264" hidden="1" customWidth="1"/>
    <col min="9" max="9" width="9.5" style="264" customWidth="1"/>
    <col min="10" max="10" width="11.375" style="2065" hidden="1" customWidth="1"/>
    <col min="11" max="11" width="3" style="264" customWidth="1"/>
    <col min="12" max="12" width="7.875" style="264" customWidth="1"/>
    <col min="13" max="13" width="7.875" style="2065" hidden="1" customWidth="1"/>
    <col min="14" max="14" width="4.75" style="264" customWidth="1"/>
    <col min="15" max="15" width="6.25" style="2065" hidden="1" customWidth="1"/>
    <col min="16" max="16" width="9.125" style="264" customWidth="1"/>
    <col min="17" max="17" width="11.25" style="2065" hidden="1" customWidth="1"/>
    <col min="18" max="18" width="3" style="264" customWidth="1"/>
    <col min="19" max="19" width="8.125" style="264" customWidth="1"/>
    <col min="20" max="20" width="8.125" style="2065" hidden="1" customWidth="1"/>
    <col min="21" max="21" width="5.875" style="264" customWidth="1"/>
    <col min="22" max="22" width="9" style="2065" hidden="1" customWidth="1"/>
    <col min="23" max="23" width="9.625" style="264" customWidth="1"/>
    <col min="24" max="24" width="9" style="2065" hidden="1" customWidth="1"/>
    <col min="25" max="25" width="3.75" style="264" customWidth="1"/>
    <col min="26" max="26" width="8.75" style="264" customWidth="1"/>
    <col min="27" max="27" width="7.375" style="2065" hidden="1" customWidth="1"/>
    <col min="28" max="28" width="4.75" style="264" customWidth="1"/>
    <col min="29" max="29" width="9" style="2065" hidden="1" customWidth="1"/>
    <col min="30" max="30" width="8.625" style="264" customWidth="1"/>
    <col min="31" max="31" width="9" style="2065" hidden="1" customWidth="1"/>
    <col min="32" max="32" width="4" style="264" customWidth="1"/>
    <col min="33" max="33" width="7.5" style="264" customWidth="1"/>
    <col min="34" max="34" width="7.5" style="2065" hidden="1" customWidth="1"/>
    <col min="35" max="35" width="4.875" style="40" customWidth="1"/>
    <col min="36" max="36" width="9" style="2065" hidden="1" customWidth="1"/>
    <col min="37" max="37" width="9.25" style="264" customWidth="1"/>
    <col min="38" max="38" width="9" style="2065" hidden="1" customWidth="1"/>
    <col min="39" max="39" width="4" style="264" customWidth="1"/>
    <col min="40" max="40" width="8.5" style="264" customWidth="1"/>
    <col min="41" max="41" width="7.375" style="2065" hidden="1" customWidth="1"/>
    <col min="42" max="42" width="4.875" style="40" customWidth="1"/>
    <col min="43" max="43" width="6.625" style="2065" hidden="1" customWidth="1"/>
    <col min="44" max="44" width="8.75" style="264" customWidth="1"/>
    <col min="45" max="45" width="9" style="264" hidden="1" customWidth="1"/>
    <col min="46" max="46" width="4" style="264" customWidth="1"/>
    <col min="47" max="47" width="8" style="264" customWidth="1"/>
    <col min="48" max="48" width="7.375" style="264" hidden="1" customWidth="1"/>
    <col min="49" max="49" width="4.875" style="40" customWidth="1"/>
    <col min="50" max="51" width="11.5" style="2065" customWidth="1"/>
    <col min="52" max="52" width="12.625" style="264" bestFit="1" customWidth="1"/>
    <col min="53" max="57" width="0" style="264" hidden="1" customWidth="1"/>
    <col min="58" max="58" width="10.5" style="264" customWidth="1"/>
    <col min="59" max="16384" width="9" style="264"/>
  </cols>
  <sheetData>
    <row r="1" spans="1:59" ht="39" customHeight="1">
      <c r="A1" s="287"/>
      <c r="B1" s="287"/>
      <c r="C1" s="288" t="s">
        <v>1500</v>
      </c>
      <c r="D1" s="289"/>
      <c r="E1" s="1328"/>
      <c r="F1" s="1606"/>
      <c r="G1" s="1328"/>
      <c r="H1" s="289"/>
      <c r="I1" s="289"/>
      <c r="J1" s="2455"/>
      <c r="K1" s="289"/>
      <c r="L1" s="289"/>
      <c r="M1" s="2455"/>
      <c r="N1" s="289"/>
      <c r="O1" s="2455"/>
      <c r="P1" s="289"/>
      <c r="Q1" s="2455"/>
      <c r="R1" s="289"/>
      <c r="S1" s="289"/>
      <c r="T1" s="2455"/>
      <c r="U1" s="289"/>
      <c r="V1" s="2455"/>
      <c r="W1" s="289"/>
      <c r="X1" s="2455"/>
      <c r="Y1" s="289"/>
      <c r="Z1" s="289"/>
      <c r="AA1" s="2455"/>
      <c r="AB1" s="289"/>
      <c r="AC1" s="2455"/>
      <c r="AD1" s="289"/>
      <c r="AE1" s="2455"/>
      <c r="AF1" s="289"/>
      <c r="AG1" s="289"/>
      <c r="AH1" s="2455"/>
      <c r="AI1" s="289"/>
      <c r="AJ1" s="2455"/>
      <c r="AK1" s="289"/>
      <c r="AL1" s="2455"/>
      <c r="AM1" s="289"/>
      <c r="AN1" s="289"/>
      <c r="AO1" s="2455"/>
      <c r="AP1" s="289"/>
      <c r="AQ1" s="2455"/>
      <c r="AR1" s="289"/>
      <c r="AS1" s="289"/>
      <c r="AT1" s="289"/>
      <c r="AU1" s="289"/>
      <c r="AV1" s="289"/>
      <c r="AW1" s="289"/>
    </row>
    <row r="2" spans="1:59" ht="30.75" customHeight="1">
      <c r="A2" s="1945" t="str">
        <f>MENU!$AC$9</f>
        <v>Thứ 5,</v>
      </c>
      <c r="B2" s="1946"/>
      <c r="C2" s="1947" t="str">
        <f>MENU!$AD$9</f>
        <v>2024/08/01</v>
      </c>
      <c r="D2" s="290"/>
      <c r="E2" s="1329"/>
      <c r="F2" s="1608"/>
      <c r="G2" s="1329"/>
      <c r="H2" s="290"/>
      <c r="I2" s="290"/>
      <c r="J2" s="2456"/>
      <c r="K2" s="290"/>
      <c r="L2" s="290"/>
      <c r="M2" s="2484"/>
      <c r="N2" s="290"/>
      <c r="O2" s="2456"/>
      <c r="P2" s="290"/>
      <c r="Q2" s="2456"/>
      <c r="R2" s="290"/>
      <c r="S2" s="290"/>
      <c r="T2" s="2484"/>
      <c r="U2" s="290"/>
      <c r="V2" s="2456"/>
      <c r="W2" s="290"/>
      <c r="X2" s="2456"/>
      <c r="Y2" s="290"/>
      <c r="Z2" s="290"/>
      <c r="AA2" s="2484"/>
      <c r="AB2" s="290"/>
      <c r="AC2" s="2456"/>
      <c r="AD2" s="290"/>
      <c r="AE2" s="2456"/>
      <c r="AF2" s="290"/>
      <c r="AG2" s="290"/>
      <c r="AH2" s="2456"/>
      <c r="AI2" s="290"/>
      <c r="AJ2" s="2456"/>
      <c r="AK2" s="290"/>
      <c r="AL2" s="2456"/>
      <c r="AM2" s="290"/>
      <c r="AN2" s="290"/>
      <c r="AO2" s="2456"/>
      <c r="AP2" s="290"/>
      <c r="AQ2" s="2456"/>
      <c r="AR2" s="290"/>
      <c r="AS2" s="290"/>
      <c r="AT2" s="290"/>
      <c r="AU2" s="290"/>
      <c r="AV2" s="290"/>
      <c r="AW2" s="290"/>
    </row>
    <row r="3" spans="1:59" ht="41.25" customHeight="1">
      <c r="A3" s="1045" t="s">
        <v>210</v>
      </c>
      <c r="B3" s="1046"/>
      <c r="C3" s="1047"/>
      <c r="D3" s="1047"/>
      <c r="E3" s="1383"/>
      <c r="F3" s="1901" t="str">
        <f>MENU!$AC$9</f>
        <v>Thứ 5,</v>
      </c>
      <c r="G3" s="1900"/>
      <c r="H3" s="1048"/>
      <c r="I3" s="1825" t="str">
        <f>MENU!$AD$9</f>
        <v>2024/08/01</v>
      </c>
      <c r="J3" s="2457"/>
      <c r="K3" s="1048"/>
      <c r="L3" s="1049"/>
      <c r="M3" s="2485"/>
      <c r="N3" s="1049"/>
      <c r="O3" s="2485"/>
      <c r="P3" s="1049"/>
      <c r="Q3" s="2485"/>
      <c r="R3" s="1049"/>
      <c r="S3" s="1049"/>
      <c r="T3" s="2485"/>
      <c r="U3" s="1048"/>
      <c r="V3" s="2457"/>
      <c r="W3" s="1048"/>
      <c r="X3" s="2457"/>
      <c r="Y3" s="1048"/>
      <c r="Z3" s="1048"/>
      <c r="AA3" s="2457"/>
      <c r="AB3" s="1048"/>
      <c r="AC3" s="2457"/>
      <c r="AD3" s="1048"/>
      <c r="AE3" s="2457"/>
      <c r="AF3" s="1048"/>
      <c r="AG3" s="1048"/>
      <c r="AH3" s="2457"/>
      <c r="AI3" s="1048"/>
      <c r="AK3" s="1046"/>
      <c r="AL3" s="2576"/>
      <c r="AM3" s="1050"/>
      <c r="AN3" s="1050"/>
      <c r="AO3" s="2576"/>
      <c r="AP3" s="1050"/>
      <c r="AQ3" s="2576"/>
      <c r="AR3" s="1050"/>
      <c r="AS3" s="1050"/>
      <c r="AT3" s="1050"/>
      <c r="AU3" s="1050"/>
      <c r="AV3" s="1050"/>
      <c r="AW3" s="1051"/>
      <c r="AX3" s="2073" t="str">
        <f>A2</f>
        <v>Thứ 5,</v>
      </c>
      <c r="AY3" s="2073"/>
    </row>
    <row r="4" spans="1:59" ht="36.75" customHeight="1">
      <c r="A4" s="1384"/>
      <c r="B4" s="1379"/>
      <c r="C4" s="1384"/>
      <c r="D4" s="1384"/>
      <c r="E4" s="1384"/>
      <c r="F4" s="1881"/>
      <c r="G4" s="3110" t="s">
        <v>124</v>
      </c>
      <c r="H4" s="82"/>
      <c r="I4" s="268" t="s">
        <v>1454</v>
      </c>
      <c r="J4" s="2458"/>
      <c r="K4" s="268"/>
      <c r="L4" s="268"/>
      <c r="M4" s="2458"/>
      <c r="N4" s="268"/>
      <c r="O4" s="2509"/>
      <c r="P4" s="281" t="s">
        <v>1444</v>
      </c>
      <c r="Q4" s="2458"/>
      <c r="R4" s="268"/>
      <c r="S4" s="268"/>
      <c r="T4" s="2458"/>
      <c r="U4" s="269"/>
      <c r="V4" s="2458"/>
      <c r="W4" s="268" t="s">
        <v>1445</v>
      </c>
      <c r="X4" s="2458"/>
      <c r="Y4" s="268"/>
      <c r="Z4" s="268"/>
      <c r="AA4" s="2458"/>
      <c r="AB4" s="268"/>
      <c r="AC4" s="2509"/>
      <c r="AD4" s="281" t="s">
        <v>1446</v>
      </c>
      <c r="AE4" s="2458"/>
      <c r="AF4" s="268"/>
      <c r="AG4" s="268"/>
      <c r="AH4" s="2458"/>
      <c r="AI4" s="269"/>
      <c r="AJ4" s="2458"/>
      <c r="AK4" s="268" t="s">
        <v>1447</v>
      </c>
      <c r="AL4" s="2458"/>
      <c r="AM4" s="268"/>
      <c r="AN4" s="268"/>
      <c r="AO4" s="2458"/>
      <c r="AP4" s="268"/>
      <c r="AQ4" s="2458"/>
      <c r="AR4" s="281" t="s">
        <v>1448</v>
      </c>
      <c r="AS4" s="268"/>
      <c r="AT4" s="268"/>
      <c r="AU4" s="269"/>
      <c r="AV4" s="269"/>
      <c r="AW4" s="1000"/>
      <c r="AX4" s="2074" t="str">
        <f>C2</f>
        <v>2024/08/01</v>
      </c>
      <c r="AY4" s="2074"/>
      <c r="AZ4" s="2066">
        <f>AX4-1</f>
        <v>45504</v>
      </c>
      <c r="BF4" s="2066">
        <f>AZ4</f>
        <v>45504</v>
      </c>
    </row>
    <row r="5" spans="1:59" ht="63.75" customHeight="1">
      <c r="A5" s="1382" t="s">
        <v>236</v>
      </c>
      <c r="B5" s="1379" t="s">
        <v>315</v>
      </c>
      <c r="C5" s="1382" t="s">
        <v>314</v>
      </c>
      <c r="D5" s="1382" t="s">
        <v>1295</v>
      </c>
      <c r="E5" s="1382" t="s">
        <v>1290</v>
      </c>
      <c r="F5" s="1882" t="s">
        <v>1289</v>
      </c>
      <c r="G5" s="3111"/>
      <c r="H5" s="20"/>
      <c r="I5" s="1871" t="s">
        <v>128</v>
      </c>
      <c r="J5" s="2459" t="s">
        <v>1</v>
      </c>
      <c r="K5" s="282" t="s">
        <v>1</v>
      </c>
      <c r="L5" s="282"/>
      <c r="M5" s="2470"/>
      <c r="N5" s="283"/>
      <c r="O5" s="2510"/>
      <c r="P5" s="1871" t="s">
        <v>128</v>
      </c>
      <c r="Q5" s="2459" t="s">
        <v>1</v>
      </c>
      <c r="R5" s="282" t="s">
        <v>1</v>
      </c>
      <c r="S5" s="282"/>
      <c r="T5" s="2470"/>
      <c r="U5" s="283"/>
      <c r="V5" s="2542"/>
      <c r="W5" s="1871" t="s">
        <v>128</v>
      </c>
      <c r="X5" s="2459" t="s">
        <v>1</v>
      </c>
      <c r="Y5" s="282" t="s">
        <v>1</v>
      </c>
      <c r="Z5" s="282"/>
      <c r="AA5" s="2470"/>
      <c r="AB5" s="283"/>
      <c r="AC5" s="2510"/>
      <c r="AD5" s="1871" t="s">
        <v>128</v>
      </c>
      <c r="AE5" s="2459" t="s">
        <v>1</v>
      </c>
      <c r="AF5" s="282" t="s">
        <v>1</v>
      </c>
      <c r="AG5" s="282"/>
      <c r="AH5" s="2470"/>
      <c r="AI5" s="283"/>
      <c r="AJ5" s="2510"/>
      <c r="AK5" s="1871" t="s">
        <v>128</v>
      </c>
      <c r="AL5" s="2459" t="s">
        <v>1</v>
      </c>
      <c r="AM5" s="282" t="s">
        <v>1</v>
      </c>
      <c r="AN5" s="282"/>
      <c r="AO5" s="2470"/>
      <c r="AP5" s="283"/>
      <c r="AQ5" s="2510"/>
      <c r="AR5" s="1871" t="s">
        <v>128</v>
      </c>
      <c r="AS5" s="1870" t="s">
        <v>1</v>
      </c>
      <c r="AT5" s="282" t="s">
        <v>1</v>
      </c>
      <c r="AU5" s="282"/>
      <c r="AV5" s="282"/>
      <c r="AW5" s="283"/>
      <c r="AX5" s="2702" t="s">
        <v>1598</v>
      </c>
      <c r="AY5" s="2702" t="s">
        <v>1599</v>
      </c>
      <c r="AZ5" s="1509" t="s">
        <v>1497</v>
      </c>
      <c r="BF5" s="2702" t="s">
        <v>1598</v>
      </c>
      <c r="BG5" s="2702" t="s">
        <v>1599</v>
      </c>
    </row>
    <row r="6" spans="1:59" ht="34.5" customHeight="1">
      <c r="A6" s="1827" t="s">
        <v>237</v>
      </c>
      <c r="B6" s="1828" t="s">
        <v>214</v>
      </c>
      <c r="C6" s="1828" t="s">
        <v>76</v>
      </c>
      <c r="D6" s="1829" t="s">
        <v>4</v>
      </c>
      <c r="E6" s="1830" t="str">
        <f>'XM.GUI MAIL'!E6</f>
        <v>20~40</v>
      </c>
      <c r="F6" s="1883" t="str">
        <f>'XM.GUI MAIL'!F6</f>
        <v>(30±5)</v>
      </c>
      <c r="G6" s="1831">
        <f>'XM.GUI MAIL'!G6</f>
        <v>30</v>
      </c>
      <c r="H6" s="1832">
        <f>XM.HN!B3</f>
        <v>0</v>
      </c>
      <c r="I6" s="1833">
        <f>H6*4</f>
        <v>0</v>
      </c>
      <c r="J6" s="2460">
        <f>($G$6-I6)*2693/1000</f>
        <v>80.790000000000006</v>
      </c>
      <c r="K6" s="1835" t="s">
        <v>8</v>
      </c>
      <c r="L6" s="1836">
        <f>IF(J6&lt;0,0,J6)</f>
        <v>80.790000000000006</v>
      </c>
      <c r="M6" s="2486"/>
      <c r="N6" s="1838" t="s">
        <v>9</v>
      </c>
      <c r="O6" s="2511">
        <f>XM.HN!C3</f>
        <v>6.65</v>
      </c>
      <c r="P6" s="1833">
        <f>O6*4</f>
        <v>26.6</v>
      </c>
      <c r="Q6" s="2460">
        <f>($G$6-P6)*2693/1000</f>
        <v>9.1561999999999948</v>
      </c>
      <c r="R6" s="1835" t="s">
        <v>8</v>
      </c>
      <c r="S6" s="1836">
        <f>IF(Q6&lt;0,0,Q6)</f>
        <v>9.1561999999999948</v>
      </c>
      <c r="T6" s="2486"/>
      <c r="U6" s="1838" t="s">
        <v>9</v>
      </c>
      <c r="V6" s="2511">
        <f>XM.HN!D3</f>
        <v>8.1999999999999993</v>
      </c>
      <c r="W6" s="1833">
        <f>V6*4</f>
        <v>32.799999999999997</v>
      </c>
      <c r="X6" s="2460">
        <f>($G$6-W6)*2693/1000</f>
        <v>-7.540399999999992</v>
      </c>
      <c r="Y6" s="1835" t="s">
        <v>8</v>
      </c>
      <c r="Z6" s="1836">
        <f>IF(X6&lt;0,0,X6)</f>
        <v>0</v>
      </c>
      <c r="AA6" s="2486"/>
      <c r="AB6" s="1838" t="s">
        <v>9</v>
      </c>
      <c r="AC6" s="2511">
        <f>XM.HN!E3</f>
        <v>8.4</v>
      </c>
      <c r="AD6" s="1833">
        <f>AC6*4</f>
        <v>33.6</v>
      </c>
      <c r="AE6" s="2460">
        <f>($G$6-AD6)*2693/1000</f>
        <v>-9.6948000000000043</v>
      </c>
      <c r="AF6" s="1835" t="s">
        <v>8</v>
      </c>
      <c r="AG6" s="1836">
        <f>IF(AE6&lt;0,0,AE6)</f>
        <v>0</v>
      </c>
      <c r="AH6" s="2486"/>
      <c r="AI6" s="1838" t="s">
        <v>9</v>
      </c>
      <c r="AJ6" s="2511">
        <f>XM.HN!F3</f>
        <v>8</v>
      </c>
      <c r="AK6" s="1833">
        <f>AJ6*4</f>
        <v>32</v>
      </c>
      <c r="AL6" s="2460">
        <f>($G$6-AK6)*2693/1000</f>
        <v>-5.3860000000000001</v>
      </c>
      <c r="AM6" s="1835" t="s">
        <v>8</v>
      </c>
      <c r="AN6" s="1836">
        <f>IF(AL6&lt;0,0,AL6)</f>
        <v>0</v>
      </c>
      <c r="AO6" s="2486"/>
      <c r="AP6" s="1838" t="s">
        <v>9</v>
      </c>
      <c r="AQ6" s="2511">
        <f>XM.HN!G3</f>
        <v>8.1999999999999993</v>
      </c>
      <c r="AR6" s="1833">
        <f>AQ6*4</f>
        <v>32.799999999999997</v>
      </c>
      <c r="AS6" s="1834">
        <f>($G$6-AR6)*2693/1000</f>
        <v>-7.540399999999992</v>
      </c>
      <c r="AT6" s="1835" t="s">
        <v>8</v>
      </c>
      <c r="AU6" s="1836">
        <f>IF(AS6&lt;0,0,AS6)</f>
        <v>0</v>
      </c>
      <c r="AV6" s="1837"/>
      <c r="AW6" s="1838" t="s">
        <v>9</v>
      </c>
      <c r="AX6" s="2704">
        <f>'R.FILE GOC'!AI57</f>
        <v>15.3</v>
      </c>
      <c r="AY6" s="2704">
        <f>'R.FILE GOC'!AJ57</f>
        <v>0</v>
      </c>
      <c r="AZ6" s="1833">
        <v>0</v>
      </c>
      <c r="BA6" s="264">
        <v>80.790000000000006</v>
      </c>
      <c r="BB6" s="264" t="s">
        <v>8</v>
      </c>
      <c r="BC6" s="264">
        <v>80.790000000000006</v>
      </c>
      <c r="BE6" s="264" t="s">
        <v>9</v>
      </c>
      <c r="BF6" s="2068">
        <v>15.5</v>
      </c>
      <c r="BG6" s="2706">
        <v>0</v>
      </c>
    </row>
    <row r="7" spans="1:59" ht="34.5" customHeight="1">
      <c r="A7" s="1839"/>
      <c r="B7" s="1840"/>
      <c r="C7" s="1841" t="s">
        <v>100</v>
      </c>
      <c r="D7" s="1842"/>
      <c r="E7" s="1843" t="s">
        <v>101</v>
      </c>
      <c r="F7" s="1884"/>
      <c r="G7" s="1844"/>
      <c r="H7" s="1845"/>
      <c r="I7" s="1874"/>
      <c r="J7" s="2461"/>
      <c r="K7" s="1847" t="s">
        <v>8</v>
      </c>
      <c r="L7" s="1861">
        <f>L6/25*840/1000</f>
        <v>2.7145440000000005</v>
      </c>
      <c r="M7" s="2487" t="str">
        <f>IF('1. XL-1E TT'!AB7="","",'1. XL-1E TT'!AB7)</f>
        <v/>
      </c>
      <c r="N7" s="1849" t="s">
        <v>10</v>
      </c>
      <c r="O7" s="2512"/>
      <c r="P7" s="1874"/>
      <c r="Q7" s="2461"/>
      <c r="R7" s="1847" t="s">
        <v>8</v>
      </c>
      <c r="S7" s="1861">
        <f>S6/25*840/1000</f>
        <v>0.30764831999999986</v>
      </c>
      <c r="T7" s="2487" t="str">
        <f>IF('1. XL-1E TT'!AF7="","",'1. XL-1E TT'!AF7)</f>
        <v/>
      </c>
      <c r="U7" s="1849" t="s">
        <v>10</v>
      </c>
      <c r="V7" s="2512"/>
      <c r="W7" s="1874"/>
      <c r="X7" s="2461"/>
      <c r="Y7" s="1847" t="s">
        <v>8</v>
      </c>
      <c r="Z7" s="1861">
        <f>Z6/25*840/1000</f>
        <v>0</v>
      </c>
      <c r="AA7" s="2487" t="str">
        <f>IF('1. XL-1E TT'!AJ7="","",'1. XL-1E TT'!AJ7)</f>
        <v/>
      </c>
      <c r="AB7" s="1849" t="s">
        <v>10</v>
      </c>
      <c r="AC7" s="2512"/>
      <c r="AD7" s="1874"/>
      <c r="AE7" s="2461"/>
      <c r="AF7" s="1847" t="s">
        <v>8</v>
      </c>
      <c r="AG7" s="1861">
        <f>AG6/25*840/1000</f>
        <v>0</v>
      </c>
      <c r="AH7" s="2487" t="str">
        <f>IF('1. XL-1E TT(CA2)'!AB7="","",'1. XL-1E TT(CA2)'!AB7)</f>
        <v/>
      </c>
      <c r="AI7" s="1849" t="s">
        <v>10</v>
      </c>
      <c r="AJ7" s="2512"/>
      <c r="AK7" s="1874"/>
      <c r="AL7" s="2461"/>
      <c r="AM7" s="1847" t="s">
        <v>8</v>
      </c>
      <c r="AN7" s="1861">
        <f>AN6/25*840/1000</f>
        <v>0</v>
      </c>
      <c r="AO7" s="2487" t="str">
        <f>IF('1. XL-1E TT(CA2)'!AF7="","",'1. XL-1E TT(CA2)'!AF7)</f>
        <v/>
      </c>
      <c r="AP7" s="1849" t="s">
        <v>10</v>
      </c>
      <c r="AQ7" s="2512"/>
      <c r="AR7" s="1874"/>
      <c r="AS7" s="1846"/>
      <c r="AT7" s="1847" t="s">
        <v>8</v>
      </c>
      <c r="AU7" s="1861">
        <f>AU6/25*840/1000</f>
        <v>0</v>
      </c>
      <c r="AV7" s="1848" t="str">
        <f>IF('1. XL-1E TT(CA2)'!AJ7="","",'1. XL-1E TT(CA2)'!AJ7)</f>
        <v/>
      </c>
      <c r="AW7" s="1849" t="s">
        <v>10</v>
      </c>
      <c r="AX7" s="2704">
        <f>'R.FILE GOC'!AI58</f>
        <v>15</v>
      </c>
      <c r="AY7" s="2704">
        <f>'R.FILE GOC'!AJ58</f>
        <v>0</v>
      </c>
      <c r="AZ7" s="1874"/>
      <c r="BB7" s="264" t="s">
        <v>8</v>
      </c>
      <c r="BC7" s="264">
        <v>2.7145440000000005</v>
      </c>
      <c r="BD7" s="264" t="s">
        <v>1496</v>
      </c>
      <c r="BE7" s="264" t="s">
        <v>10</v>
      </c>
      <c r="BF7" s="2068">
        <v>15.3</v>
      </c>
      <c r="BG7" s="2706">
        <v>0</v>
      </c>
    </row>
    <row r="8" spans="1:59" ht="34.5" customHeight="1">
      <c r="A8" s="1850"/>
      <c r="B8" s="1851"/>
      <c r="C8" s="1852" t="s">
        <v>102</v>
      </c>
      <c r="D8" s="1853"/>
      <c r="E8" s="1854" t="s">
        <v>101</v>
      </c>
      <c r="F8" s="1885"/>
      <c r="G8" s="1855"/>
      <c r="H8" s="1856"/>
      <c r="I8" s="1875"/>
      <c r="J8" s="2462"/>
      <c r="K8" s="1847" t="s">
        <v>8</v>
      </c>
      <c r="L8" s="1862">
        <f>L7*10</f>
        <v>27.145440000000004</v>
      </c>
      <c r="M8" s="2488" t="str">
        <f>IF('1. XL-1E TT'!AB8="","",'1. XL-1E TT'!AB8)</f>
        <v/>
      </c>
      <c r="N8" s="1860" t="s">
        <v>10</v>
      </c>
      <c r="O8" s="2513"/>
      <c r="P8" s="1875"/>
      <c r="Q8" s="2462"/>
      <c r="R8" s="1847" t="s">
        <v>8</v>
      </c>
      <c r="S8" s="1862">
        <f>S7*10</f>
        <v>3.0764831999999984</v>
      </c>
      <c r="T8" s="2488" t="str">
        <f>IF('1. XL-1E TT'!AF8="","",'1. XL-1E TT'!AF8)</f>
        <v/>
      </c>
      <c r="U8" s="1860" t="s">
        <v>10</v>
      </c>
      <c r="V8" s="2513"/>
      <c r="W8" s="1875"/>
      <c r="X8" s="2462"/>
      <c r="Y8" s="1847" t="s">
        <v>8</v>
      </c>
      <c r="Z8" s="1862">
        <f>Z7*10</f>
        <v>0</v>
      </c>
      <c r="AA8" s="2488" t="str">
        <f>IF('1. XL-1E TT'!AJ8="","",'1. XL-1E TT'!AJ8)</f>
        <v/>
      </c>
      <c r="AB8" s="1860" t="s">
        <v>10</v>
      </c>
      <c r="AC8" s="2513"/>
      <c r="AD8" s="1875"/>
      <c r="AE8" s="2462"/>
      <c r="AF8" s="1847" t="s">
        <v>8</v>
      </c>
      <c r="AG8" s="1862">
        <f>AG7*10</f>
        <v>0</v>
      </c>
      <c r="AH8" s="2488" t="str">
        <f>IF('1. XL-1E TT(CA2)'!AB8="","",'1. XL-1E TT(CA2)'!AB8)</f>
        <v/>
      </c>
      <c r="AI8" s="1860" t="s">
        <v>10</v>
      </c>
      <c r="AJ8" s="2513"/>
      <c r="AK8" s="1875"/>
      <c r="AL8" s="2462"/>
      <c r="AM8" s="1847" t="s">
        <v>8</v>
      </c>
      <c r="AN8" s="1862">
        <f>AN7*10</f>
        <v>0</v>
      </c>
      <c r="AO8" s="2488" t="str">
        <f>IF('1. XL-1E TT(CA2)'!AF8="","",'1. XL-1E TT(CA2)'!AF8)</f>
        <v/>
      </c>
      <c r="AP8" s="1860" t="s">
        <v>10</v>
      </c>
      <c r="AQ8" s="2513"/>
      <c r="AR8" s="1875"/>
      <c r="AS8" s="1857"/>
      <c r="AT8" s="1847" t="s">
        <v>8</v>
      </c>
      <c r="AU8" s="1862">
        <f>AU7*10</f>
        <v>0</v>
      </c>
      <c r="AV8" s="1859" t="str">
        <f>IF('1. XL-1E TT(CA2)'!AJ8="","",'1. XL-1E TT(CA2)'!AJ8)</f>
        <v/>
      </c>
      <c r="AW8" s="1860" t="s">
        <v>10</v>
      </c>
      <c r="AX8" s="2704">
        <f>'R.FILE GOC'!AI59</f>
        <v>15</v>
      </c>
      <c r="AY8" s="2704">
        <f>'R.FILE GOC'!AJ59</f>
        <v>0</v>
      </c>
      <c r="AZ8" s="1875"/>
      <c r="BB8" s="264" t="s">
        <v>8</v>
      </c>
      <c r="BC8" s="264">
        <v>27.145440000000004</v>
      </c>
      <c r="BD8" s="264" t="s">
        <v>1496</v>
      </c>
      <c r="BE8" s="264" t="s">
        <v>10</v>
      </c>
      <c r="BF8" s="2068">
        <v>15.3</v>
      </c>
      <c r="BG8" s="2706">
        <v>0</v>
      </c>
    </row>
    <row r="9" spans="1:59" ht="34.5" customHeight="1">
      <c r="A9" s="1827" t="s">
        <v>238</v>
      </c>
      <c r="B9" s="1828" t="s">
        <v>214</v>
      </c>
      <c r="C9" s="1828" t="s">
        <v>77</v>
      </c>
      <c r="D9" s="1829" t="s">
        <v>4</v>
      </c>
      <c r="E9" s="1830" t="str">
        <f>'XM.GUI MAIL'!E9</f>
        <v>20~40</v>
      </c>
      <c r="F9" s="1883" t="str">
        <f>'XM.GUI MAIL'!F9</f>
        <v>(30±5)</v>
      </c>
      <c r="G9" s="1831">
        <f>'XM.GUI MAIL'!G9</f>
        <v>30</v>
      </c>
      <c r="H9" s="1832">
        <f>XM.HN!B6</f>
        <v>0</v>
      </c>
      <c r="I9" s="1833">
        <f>H9*4</f>
        <v>0</v>
      </c>
      <c r="J9" s="2460">
        <f>($G$9-I9)*3305/1000</f>
        <v>99.15</v>
      </c>
      <c r="K9" s="1835" t="s">
        <v>8</v>
      </c>
      <c r="L9" s="1836">
        <f t="shared" ref="L9:L18" si="0">IF(J9&lt;0,0,J9)</f>
        <v>99.15</v>
      </c>
      <c r="M9" s="2486"/>
      <c r="N9" s="1838" t="s">
        <v>9</v>
      </c>
      <c r="O9" s="2511">
        <f>XM.HN!C6</f>
        <v>7.75</v>
      </c>
      <c r="P9" s="1833">
        <f>O9*4</f>
        <v>31</v>
      </c>
      <c r="Q9" s="2460">
        <f>($G$9-P9)*3305/1000</f>
        <v>-3.3050000000000002</v>
      </c>
      <c r="R9" s="1835" t="s">
        <v>8</v>
      </c>
      <c r="S9" s="1836">
        <f t="shared" ref="S9" si="1">IF(Q9&lt;0,0,Q9)</f>
        <v>0</v>
      </c>
      <c r="T9" s="2486"/>
      <c r="U9" s="1838" t="s">
        <v>9</v>
      </c>
      <c r="V9" s="2511">
        <f>XM.HN!D6</f>
        <v>7.55</v>
      </c>
      <c r="W9" s="1833">
        <f>V9*4</f>
        <v>30.2</v>
      </c>
      <c r="X9" s="2460">
        <f>($G$9-W9)*3305/1000</f>
        <v>-0.66099999999999759</v>
      </c>
      <c r="Y9" s="1835" t="s">
        <v>8</v>
      </c>
      <c r="Z9" s="1836">
        <f t="shared" ref="Z9" si="2">IF(X9&lt;0,0,X9)</f>
        <v>0</v>
      </c>
      <c r="AA9" s="2486"/>
      <c r="AB9" s="1838" t="s">
        <v>9</v>
      </c>
      <c r="AC9" s="2511">
        <f>XM.HN!E6</f>
        <v>7.8</v>
      </c>
      <c r="AD9" s="1833">
        <f>AC9*4</f>
        <v>31.2</v>
      </c>
      <c r="AE9" s="2460">
        <f>($G$9-AD9)*3305/1000</f>
        <v>-3.9659999999999975</v>
      </c>
      <c r="AF9" s="1835" t="s">
        <v>8</v>
      </c>
      <c r="AG9" s="1836">
        <f t="shared" ref="AG9" si="3">IF(AE9&lt;0,0,AE9)</f>
        <v>0</v>
      </c>
      <c r="AH9" s="2486"/>
      <c r="AI9" s="1838" t="s">
        <v>9</v>
      </c>
      <c r="AJ9" s="2511">
        <f>XM.HN!F6</f>
        <v>8</v>
      </c>
      <c r="AK9" s="1833">
        <f>AJ9*4</f>
        <v>32</v>
      </c>
      <c r="AL9" s="2460">
        <f>($G$9-AK9)*3305/1000</f>
        <v>-6.61</v>
      </c>
      <c r="AM9" s="1835" t="s">
        <v>8</v>
      </c>
      <c r="AN9" s="1836">
        <f t="shared" ref="AN9" si="4">IF(AL9&lt;0,0,AL9)</f>
        <v>0</v>
      </c>
      <c r="AO9" s="2486"/>
      <c r="AP9" s="1838" t="s">
        <v>9</v>
      </c>
      <c r="AQ9" s="2511">
        <f>XM.HN!G6</f>
        <v>8</v>
      </c>
      <c r="AR9" s="1833">
        <f>AQ9*4</f>
        <v>32</v>
      </c>
      <c r="AS9" s="1834">
        <f>($G$9-AR9)*3305/1000</f>
        <v>-6.61</v>
      </c>
      <c r="AT9" s="1835" t="s">
        <v>8</v>
      </c>
      <c r="AU9" s="1836">
        <f t="shared" ref="AU9" si="5">IF(AS9&lt;0,0,AS9)</f>
        <v>0</v>
      </c>
      <c r="AV9" s="1837"/>
      <c r="AW9" s="1838" t="s">
        <v>9</v>
      </c>
      <c r="AX9" s="2704">
        <f>'R.FILE GOC'!AI60</f>
        <v>10.1</v>
      </c>
      <c r="AY9" s="2704">
        <f>'R.FILE GOC'!AJ60</f>
        <v>0</v>
      </c>
      <c r="AZ9" s="1833">
        <v>0</v>
      </c>
      <c r="BA9" s="264">
        <v>99.15</v>
      </c>
      <c r="BB9" s="264" t="s">
        <v>8</v>
      </c>
      <c r="BC9" s="264">
        <v>99.15</v>
      </c>
      <c r="BE9" s="264" t="s">
        <v>9</v>
      </c>
      <c r="BF9" s="2068">
        <v>10.3</v>
      </c>
      <c r="BG9" s="2706">
        <v>0</v>
      </c>
    </row>
    <row r="10" spans="1:59" ht="34.5" customHeight="1">
      <c r="A10" s="1839"/>
      <c r="B10" s="1840"/>
      <c r="C10" s="1841" t="s">
        <v>100</v>
      </c>
      <c r="D10" s="1842"/>
      <c r="E10" s="1843" t="s">
        <v>101</v>
      </c>
      <c r="F10" s="1884"/>
      <c r="G10" s="1844"/>
      <c r="H10" s="1845"/>
      <c r="I10" s="1874"/>
      <c r="J10" s="2461"/>
      <c r="K10" s="1847" t="s">
        <v>8</v>
      </c>
      <c r="L10" s="1861">
        <f>L9/25*840/1000</f>
        <v>3.3314400000000002</v>
      </c>
      <c r="M10" s="2487" t="str">
        <f>IF('1. XL-1E TT'!AB10="","",'1. XL-1E TT'!AB10)</f>
        <v/>
      </c>
      <c r="N10" s="1849" t="s">
        <v>10</v>
      </c>
      <c r="O10" s="2512"/>
      <c r="P10" s="1874"/>
      <c r="Q10" s="2461"/>
      <c r="R10" s="1847" t="s">
        <v>8</v>
      </c>
      <c r="S10" s="1861">
        <f>S9/25*840/1000</f>
        <v>0</v>
      </c>
      <c r="T10" s="2487" t="str">
        <f>IF('1. XL-1E TT'!AF10="","",'1. XL-1E TT'!AF10)</f>
        <v/>
      </c>
      <c r="U10" s="1849" t="s">
        <v>10</v>
      </c>
      <c r="V10" s="2512"/>
      <c r="W10" s="1874"/>
      <c r="X10" s="2461"/>
      <c r="Y10" s="1847" t="s">
        <v>8</v>
      </c>
      <c r="Z10" s="1861">
        <f>Z9/25*840/1000</f>
        <v>0</v>
      </c>
      <c r="AA10" s="2487" t="str">
        <f>IF('1. XL-1E TT'!AJ10="","",'1. XL-1E TT'!AJ10)</f>
        <v/>
      </c>
      <c r="AB10" s="1849" t="s">
        <v>10</v>
      </c>
      <c r="AC10" s="2512"/>
      <c r="AD10" s="1874"/>
      <c r="AE10" s="2461"/>
      <c r="AF10" s="1847" t="s">
        <v>8</v>
      </c>
      <c r="AG10" s="1861">
        <f>AG9/25*840/1000</f>
        <v>0</v>
      </c>
      <c r="AH10" s="2487" t="str">
        <f>IF('1. XL-1E TT(CA2)'!AB10="","",'1. XL-1E TT(CA2)'!AB10)</f>
        <v/>
      </c>
      <c r="AI10" s="1849" t="s">
        <v>10</v>
      </c>
      <c r="AJ10" s="2512"/>
      <c r="AK10" s="1874"/>
      <c r="AL10" s="2461"/>
      <c r="AM10" s="1847" t="s">
        <v>8</v>
      </c>
      <c r="AN10" s="1861">
        <f>AN9/25*840/1000</f>
        <v>0</v>
      </c>
      <c r="AO10" s="2487" t="str">
        <f>IF('1. XL-1E TT(CA2)'!AF10="","",'1. XL-1E TT(CA2)'!AF10)</f>
        <v/>
      </c>
      <c r="AP10" s="1849" t="s">
        <v>10</v>
      </c>
      <c r="AQ10" s="2512"/>
      <c r="AR10" s="1874"/>
      <c r="AS10" s="1846"/>
      <c r="AT10" s="1847" t="s">
        <v>8</v>
      </c>
      <c r="AU10" s="1861">
        <f>AU9/25*840/1000</f>
        <v>0</v>
      </c>
      <c r="AV10" s="1848" t="str">
        <f>IF('1. XL-1E TT(CA2)'!AJ10="","",'1. XL-1E TT(CA2)'!AJ10)</f>
        <v/>
      </c>
      <c r="AW10" s="1849" t="s">
        <v>10</v>
      </c>
      <c r="AX10" s="2704">
        <f>'R.FILE GOC'!AI61</f>
        <v>1.2</v>
      </c>
      <c r="AY10" s="2704">
        <f>'R.FILE GOC'!AJ61</f>
        <v>0</v>
      </c>
      <c r="AZ10" s="1874"/>
      <c r="BB10" s="264" t="s">
        <v>8</v>
      </c>
      <c r="BC10" s="264">
        <v>3.3314400000000002</v>
      </c>
      <c r="BD10" s="264" t="s">
        <v>1496</v>
      </c>
      <c r="BE10" s="264" t="s">
        <v>10</v>
      </c>
      <c r="BF10" s="2068">
        <v>1</v>
      </c>
      <c r="BG10" s="2706">
        <v>0</v>
      </c>
    </row>
    <row r="11" spans="1:59" ht="34.5" customHeight="1">
      <c r="A11" s="1850"/>
      <c r="B11" s="1851"/>
      <c r="C11" s="1852" t="s">
        <v>102</v>
      </c>
      <c r="D11" s="1853"/>
      <c r="E11" s="1854" t="s">
        <v>101</v>
      </c>
      <c r="F11" s="1885"/>
      <c r="G11" s="1855"/>
      <c r="H11" s="1856"/>
      <c r="I11" s="1875"/>
      <c r="J11" s="2462"/>
      <c r="K11" s="1847" t="s">
        <v>8</v>
      </c>
      <c r="L11" s="1862">
        <f>L10*10</f>
        <v>33.314399999999999</v>
      </c>
      <c r="M11" s="2488" t="str">
        <f>IF('1. XL-1E TT'!AB11="","",'1. XL-1E TT'!AB11)</f>
        <v/>
      </c>
      <c r="N11" s="1860" t="s">
        <v>10</v>
      </c>
      <c r="O11" s="2513"/>
      <c r="P11" s="1875"/>
      <c r="Q11" s="2462"/>
      <c r="R11" s="1847" t="s">
        <v>8</v>
      </c>
      <c r="S11" s="1862">
        <f>S10*10</f>
        <v>0</v>
      </c>
      <c r="T11" s="2488" t="str">
        <f>IF('1. XL-1E TT'!AF11="","",'1. XL-1E TT'!AF11)</f>
        <v/>
      </c>
      <c r="U11" s="1860" t="s">
        <v>10</v>
      </c>
      <c r="V11" s="2513"/>
      <c r="W11" s="1875"/>
      <c r="X11" s="2462"/>
      <c r="Y11" s="1847" t="s">
        <v>8</v>
      </c>
      <c r="Z11" s="1862">
        <f>Z10*10</f>
        <v>0</v>
      </c>
      <c r="AA11" s="2488" t="str">
        <f>IF('1. XL-1E TT'!AJ11="","",'1. XL-1E TT'!AJ11)</f>
        <v/>
      </c>
      <c r="AB11" s="1860" t="s">
        <v>10</v>
      </c>
      <c r="AC11" s="2513"/>
      <c r="AD11" s="1875"/>
      <c r="AE11" s="2462"/>
      <c r="AF11" s="1847" t="s">
        <v>8</v>
      </c>
      <c r="AG11" s="1862">
        <f>AG10*10</f>
        <v>0</v>
      </c>
      <c r="AH11" s="2488" t="str">
        <f>IF('1. XL-1E TT(CA2)'!AB11="","",'1. XL-1E TT(CA2)'!AB11)</f>
        <v/>
      </c>
      <c r="AI11" s="1860" t="s">
        <v>10</v>
      </c>
      <c r="AJ11" s="2513"/>
      <c r="AK11" s="1875"/>
      <c r="AL11" s="2462"/>
      <c r="AM11" s="1847" t="s">
        <v>8</v>
      </c>
      <c r="AN11" s="1862">
        <f>AN10*10</f>
        <v>0</v>
      </c>
      <c r="AO11" s="2488" t="str">
        <f>IF('1. XL-1E TT(CA2)'!AF11="","",'1. XL-1E TT(CA2)'!AF11)</f>
        <v/>
      </c>
      <c r="AP11" s="1860" t="s">
        <v>10</v>
      </c>
      <c r="AQ11" s="2513"/>
      <c r="AR11" s="1875"/>
      <c r="AS11" s="1857"/>
      <c r="AT11" s="1847" t="s">
        <v>8</v>
      </c>
      <c r="AU11" s="1862">
        <f>AU10*10</f>
        <v>0</v>
      </c>
      <c r="AV11" s="1859" t="str">
        <f>IF('1. XL-1E TT(CA2)'!AJ11="","",'1. XL-1E TT(CA2)'!AJ11)</f>
        <v/>
      </c>
      <c r="AW11" s="1860" t="s">
        <v>10</v>
      </c>
      <c r="AX11" s="2704">
        <f>'R.FILE GOC'!AI62</f>
        <v>23.5</v>
      </c>
      <c r="AY11" s="2704">
        <f>'R.FILE GOC'!AJ62</f>
        <v>0</v>
      </c>
      <c r="AZ11" s="1875"/>
      <c r="BB11" s="264" t="s">
        <v>8</v>
      </c>
      <c r="BC11" s="264">
        <v>33.314399999999999</v>
      </c>
      <c r="BD11" s="264" t="s">
        <v>1496</v>
      </c>
      <c r="BE11" s="264" t="s">
        <v>10</v>
      </c>
      <c r="BF11" s="2068">
        <v>23</v>
      </c>
      <c r="BG11" s="2706">
        <v>0</v>
      </c>
    </row>
    <row r="12" spans="1:59" ht="34.5" customHeight="1">
      <c r="A12" s="1827" t="s">
        <v>239</v>
      </c>
      <c r="B12" s="1828" t="s">
        <v>214</v>
      </c>
      <c r="C12" s="1828" t="s">
        <v>48</v>
      </c>
      <c r="D12" s="1829" t="s">
        <v>4</v>
      </c>
      <c r="E12" s="1830" t="str">
        <f>'XM.GUI MAIL'!E12</f>
        <v>60~80</v>
      </c>
      <c r="F12" s="1883" t="str">
        <f>'XM.GUI MAIL'!F12</f>
        <v>(70±10)</v>
      </c>
      <c r="G12" s="1831">
        <f>'XM.GUI MAIL'!G12</f>
        <v>70</v>
      </c>
      <c r="H12" s="1832">
        <f>XM.HN!B9</f>
        <v>0</v>
      </c>
      <c r="I12" s="1863">
        <f>H12*4</f>
        <v>0</v>
      </c>
      <c r="J12" s="2460">
        <f>($G$12-I12)*1156/1000</f>
        <v>80.92</v>
      </c>
      <c r="K12" s="1835" t="s">
        <v>8</v>
      </c>
      <c r="L12" s="1836">
        <f t="shared" si="0"/>
        <v>80.92</v>
      </c>
      <c r="M12" s="2486"/>
      <c r="N12" s="1838" t="s">
        <v>9</v>
      </c>
      <c r="O12" s="2511">
        <f>XM.HN!C9</f>
        <v>19.25</v>
      </c>
      <c r="P12" s="1863">
        <f>O12*4</f>
        <v>77</v>
      </c>
      <c r="Q12" s="2460">
        <f>($G$12-P12)*1156/1000</f>
        <v>-8.0920000000000005</v>
      </c>
      <c r="R12" s="1835" t="s">
        <v>8</v>
      </c>
      <c r="S12" s="1836">
        <f t="shared" ref="S12:S18" si="6">IF(Q12&lt;0,0,Q12)</f>
        <v>0</v>
      </c>
      <c r="T12" s="2486"/>
      <c r="U12" s="1838" t="s">
        <v>9</v>
      </c>
      <c r="V12" s="2511">
        <f>XM.HN!D9</f>
        <v>19.5</v>
      </c>
      <c r="W12" s="1863">
        <f>V12*4</f>
        <v>78</v>
      </c>
      <c r="X12" s="2460">
        <f>($G$12-W12)*1156/1000</f>
        <v>-9.2479999999999993</v>
      </c>
      <c r="Y12" s="1835" t="s">
        <v>8</v>
      </c>
      <c r="Z12" s="1836">
        <f t="shared" ref="Z12:Z18" si="7">IF(X12&lt;0,0,X12)</f>
        <v>0</v>
      </c>
      <c r="AA12" s="2486"/>
      <c r="AB12" s="1838" t="s">
        <v>9</v>
      </c>
      <c r="AC12" s="2511">
        <f>XM.HN!E9</f>
        <v>18.8</v>
      </c>
      <c r="AD12" s="1863">
        <f>AC12*4</f>
        <v>75.2</v>
      </c>
      <c r="AE12" s="2460">
        <f>($G$12-AD12)*1156/1000</f>
        <v>-6.0112000000000032</v>
      </c>
      <c r="AF12" s="1835" t="s">
        <v>8</v>
      </c>
      <c r="AG12" s="1836">
        <f t="shared" ref="AG12:AG18" si="8">IF(AE12&lt;0,0,AE12)</f>
        <v>0</v>
      </c>
      <c r="AH12" s="2486"/>
      <c r="AI12" s="1838" t="s">
        <v>9</v>
      </c>
      <c r="AJ12" s="2511">
        <f>XM.HN!F9</f>
        <v>19.8</v>
      </c>
      <c r="AK12" s="1863">
        <v>74.5</v>
      </c>
      <c r="AL12" s="2460">
        <f>($G$12-AK12)*1156/1000</f>
        <v>-5.202</v>
      </c>
      <c r="AM12" s="1835" t="s">
        <v>8</v>
      </c>
      <c r="AN12" s="1836">
        <f t="shared" ref="AN12:AN18" si="9">IF(AL12&lt;0,0,AL12)</f>
        <v>0</v>
      </c>
      <c r="AO12" s="2486"/>
      <c r="AP12" s="1838" t="s">
        <v>9</v>
      </c>
      <c r="AQ12" s="2511">
        <f>XM.HN!G9</f>
        <v>19.7</v>
      </c>
      <c r="AR12" s="1863">
        <v>74</v>
      </c>
      <c r="AS12" s="1834">
        <f>($G$12-AR12)*1156/1000</f>
        <v>-4.6239999999999997</v>
      </c>
      <c r="AT12" s="1835" t="s">
        <v>8</v>
      </c>
      <c r="AU12" s="1836">
        <f t="shared" ref="AU12:AU18" si="10">IF(AS12&lt;0,0,AS12)</f>
        <v>0</v>
      </c>
      <c r="AV12" s="1837"/>
      <c r="AW12" s="1838" t="s">
        <v>9</v>
      </c>
      <c r="AX12" s="2704">
        <f>'R.FILE GOC'!AI63</f>
        <v>7.5</v>
      </c>
      <c r="AY12" s="2704">
        <f>'R.FILE GOC'!AJ63</f>
        <v>0</v>
      </c>
      <c r="AZ12" s="1863">
        <v>0</v>
      </c>
      <c r="BA12" s="264">
        <v>80.92</v>
      </c>
      <c r="BB12" s="264" t="s">
        <v>8</v>
      </c>
      <c r="BC12" s="264">
        <v>80.92</v>
      </c>
      <c r="BE12" s="264" t="s">
        <v>9</v>
      </c>
      <c r="BF12" s="2068">
        <v>7.5</v>
      </c>
      <c r="BG12" s="2706">
        <v>0</v>
      </c>
    </row>
    <row r="13" spans="1:59" ht="34.5" customHeight="1">
      <c r="A13" s="1850"/>
      <c r="B13" s="1851"/>
      <c r="C13" s="1864" t="s">
        <v>103</v>
      </c>
      <c r="D13" s="1853"/>
      <c r="E13" s="1854" t="s">
        <v>101</v>
      </c>
      <c r="F13" s="1885"/>
      <c r="G13" s="1855"/>
      <c r="H13" s="1856"/>
      <c r="I13" s="1876"/>
      <c r="J13" s="2462"/>
      <c r="K13" s="1858" t="s">
        <v>8</v>
      </c>
      <c r="L13" s="1862">
        <f>L12/25*7.5</f>
        <v>24.276</v>
      </c>
      <c r="M13" s="2488" t="str">
        <f>IF('1. XL-1E TT'!AB13="","",'1. XL-1E TT'!AB13)</f>
        <v/>
      </c>
      <c r="N13" s="1860" t="s">
        <v>10</v>
      </c>
      <c r="O13" s="2513"/>
      <c r="P13" s="1876"/>
      <c r="Q13" s="2462"/>
      <c r="R13" s="1858" t="s">
        <v>8</v>
      </c>
      <c r="S13" s="1862">
        <f>S12/25*7.5</f>
        <v>0</v>
      </c>
      <c r="T13" s="2488" t="str">
        <f>IF('1. XL-1E TT'!AF13="","",'1. XL-1E TT'!AF13)</f>
        <v/>
      </c>
      <c r="U13" s="1860" t="s">
        <v>10</v>
      </c>
      <c r="V13" s="2513"/>
      <c r="W13" s="1876"/>
      <c r="X13" s="2462"/>
      <c r="Y13" s="1858" t="s">
        <v>8</v>
      </c>
      <c r="Z13" s="1862">
        <f>Z12/25*7.5</f>
        <v>0</v>
      </c>
      <c r="AA13" s="2488" t="str">
        <f>IF('1. XL-1E TT'!AJ13="","",'1. XL-1E TT'!AJ13)</f>
        <v/>
      </c>
      <c r="AB13" s="1860" t="s">
        <v>10</v>
      </c>
      <c r="AC13" s="2513"/>
      <c r="AD13" s="1876"/>
      <c r="AE13" s="2462"/>
      <c r="AF13" s="1858" t="s">
        <v>8</v>
      </c>
      <c r="AG13" s="1862">
        <f>AG12/25*7.5</f>
        <v>0</v>
      </c>
      <c r="AH13" s="2488" t="str">
        <f>IF('1. XL-1E TT(CA2)'!AB13="","",'1. XL-1E TT(CA2)'!AB13)</f>
        <v/>
      </c>
      <c r="AI13" s="1860" t="s">
        <v>10</v>
      </c>
      <c r="AJ13" s="2513"/>
      <c r="AK13" s="1876"/>
      <c r="AL13" s="2462"/>
      <c r="AM13" s="1858" t="s">
        <v>8</v>
      </c>
      <c r="AN13" s="1862">
        <f>AN12/25*7.5</f>
        <v>0</v>
      </c>
      <c r="AO13" s="2488" t="str">
        <f>IF('1. XL-1E TT(CA2)'!AF13="","",'1. XL-1E TT(CA2)'!AF13)</f>
        <v/>
      </c>
      <c r="AP13" s="1860" t="s">
        <v>10</v>
      </c>
      <c r="AQ13" s="2513"/>
      <c r="AR13" s="1876"/>
      <c r="AS13" s="1857"/>
      <c r="AT13" s="1858" t="s">
        <v>8</v>
      </c>
      <c r="AU13" s="1862">
        <f>AU12/25*7.5</f>
        <v>0</v>
      </c>
      <c r="AV13" s="1859" t="str">
        <f>IF('1. XL-1E TT(CA2)'!AJ13="","",'1. XL-1E TT(CA2)'!AJ13)</f>
        <v/>
      </c>
      <c r="AW13" s="1860" t="s">
        <v>10</v>
      </c>
      <c r="AX13" s="2704">
        <f>'R.FILE GOC'!AI64</f>
        <v>7.3</v>
      </c>
      <c r="AY13" s="2704">
        <f>'R.FILE GOC'!AJ64</f>
        <v>0</v>
      </c>
      <c r="AZ13" s="1876"/>
      <c r="BB13" s="264" t="s">
        <v>8</v>
      </c>
      <c r="BC13" s="264">
        <v>24.276</v>
      </c>
      <c r="BD13" s="264" t="s">
        <v>1496</v>
      </c>
      <c r="BE13" s="264" t="s">
        <v>10</v>
      </c>
      <c r="BF13" s="2068">
        <v>7.3</v>
      </c>
      <c r="BG13" s="2706">
        <v>0</v>
      </c>
    </row>
    <row r="14" spans="1:59" ht="34.5" customHeight="1">
      <c r="A14" s="1827" t="s">
        <v>240</v>
      </c>
      <c r="B14" s="1828" t="s">
        <v>214</v>
      </c>
      <c r="C14" s="1828" t="s">
        <v>49</v>
      </c>
      <c r="D14" s="1829" t="s">
        <v>4</v>
      </c>
      <c r="E14" s="1830" t="str">
        <f>'XM.GUI MAIL'!E14</f>
        <v>60~80</v>
      </c>
      <c r="F14" s="1883" t="str">
        <f>'XM.GUI MAIL'!F14</f>
        <v>(70±10)</v>
      </c>
      <c r="G14" s="1831">
        <f>'XM.GUI MAIL'!G14</f>
        <v>70</v>
      </c>
      <c r="H14" s="1832">
        <f>XM.HN!B11</f>
        <v>0</v>
      </c>
      <c r="I14" s="1863">
        <f>H14*4</f>
        <v>0</v>
      </c>
      <c r="J14" s="2460">
        <f>($G$14-I14)*1459/1000</f>
        <v>102.13</v>
      </c>
      <c r="K14" s="1835" t="s">
        <v>8</v>
      </c>
      <c r="L14" s="1836">
        <f t="shared" si="0"/>
        <v>102.13</v>
      </c>
      <c r="M14" s="2486"/>
      <c r="N14" s="1838" t="s">
        <v>9</v>
      </c>
      <c r="O14" s="2511">
        <f>XM.HN!C11</f>
        <v>18.149999999999999</v>
      </c>
      <c r="P14" s="1863">
        <f>O14*4</f>
        <v>72.599999999999994</v>
      </c>
      <c r="Q14" s="2460">
        <f>($G$14-P14)*1459/1000</f>
        <v>-3.7933999999999921</v>
      </c>
      <c r="R14" s="1835" t="s">
        <v>8</v>
      </c>
      <c r="S14" s="1836">
        <f t="shared" si="6"/>
        <v>0</v>
      </c>
      <c r="T14" s="2486"/>
      <c r="U14" s="1838" t="s">
        <v>9</v>
      </c>
      <c r="V14" s="2511">
        <f>XM.HN!D11</f>
        <v>18.100000000000001</v>
      </c>
      <c r="W14" s="1863">
        <f>V14*4</f>
        <v>72.400000000000006</v>
      </c>
      <c r="X14" s="2460">
        <f>($G$14-W14)*1459/1000</f>
        <v>-3.5016000000000083</v>
      </c>
      <c r="Y14" s="1835" t="s">
        <v>8</v>
      </c>
      <c r="Z14" s="1836">
        <f t="shared" si="7"/>
        <v>0</v>
      </c>
      <c r="AA14" s="2486"/>
      <c r="AB14" s="1838" t="s">
        <v>9</v>
      </c>
      <c r="AC14" s="2511">
        <f>XM.HN!E11</f>
        <v>17.3</v>
      </c>
      <c r="AD14" s="1863">
        <v>72</v>
      </c>
      <c r="AE14" s="2460">
        <f>($G$14-AD14)*1459/1000</f>
        <v>-2.9180000000000001</v>
      </c>
      <c r="AF14" s="1835" t="s">
        <v>8</v>
      </c>
      <c r="AG14" s="1836">
        <f t="shared" si="8"/>
        <v>0</v>
      </c>
      <c r="AH14" s="2486"/>
      <c r="AI14" s="1838" t="s">
        <v>9</v>
      </c>
      <c r="AJ14" s="2511">
        <f>XM.HN!F11</f>
        <v>17</v>
      </c>
      <c r="AK14" s="1863">
        <v>71</v>
      </c>
      <c r="AL14" s="2460">
        <f>($G$14-AK14)*1459/1000</f>
        <v>-1.4590000000000001</v>
      </c>
      <c r="AM14" s="1835" t="s">
        <v>8</v>
      </c>
      <c r="AN14" s="1836">
        <f t="shared" si="9"/>
        <v>0</v>
      </c>
      <c r="AO14" s="2486"/>
      <c r="AP14" s="1838" t="s">
        <v>9</v>
      </c>
      <c r="AQ14" s="2511">
        <f>XM.HN!G11</f>
        <v>17</v>
      </c>
      <c r="AR14" s="1863">
        <f>AQ14*4</f>
        <v>68</v>
      </c>
      <c r="AS14" s="1834">
        <f>($G$14-AR14)*1459/1000</f>
        <v>2.9180000000000001</v>
      </c>
      <c r="AT14" s="1835" t="s">
        <v>8</v>
      </c>
      <c r="AU14" s="1836">
        <f t="shared" si="10"/>
        <v>2.9180000000000001</v>
      </c>
      <c r="AV14" s="1837"/>
      <c r="AW14" s="1838" t="s">
        <v>9</v>
      </c>
      <c r="AX14" s="2704">
        <f>'R.FILE GOC'!AI65</f>
        <v>5.4</v>
      </c>
      <c r="AY14" s="2704">
        <f>'R.FILE GOC'!AJ65</f>
        <v>0</v>
      </c>
      <c r="AZ14" s="1863">
        <v>0</v>
      </c>
      <c r="BA14" s="264">
        <v>102.13</v>
      </c>
      <c r="BB14" s="264" t="s">
        <v>8</v>
      </c>
      <c r="BC14" s="264">
        <v>102.13</v>
      </c>
      <c r="BE14" s="264" t="s">
        <v>9</v>
      </c>
      <c r="BF14" s="2068">
        <v>5.4</v>
      </c>
      <c r="BG14" s="2706">
        <v>0</v>
      </c>
    </row>
    <row r="15" spans="1:59" ht="34.5" customHeight="1">
      <c r="A15" s="1850"/>
      <c r="B15" s="1851"/>
      <c r="C15" s="1864" t="s">
        <v>103</v>
      </c>
      <c r="D15" s="1853"/>
      <c r="E15" s="1854" t="s">
        <v>101</v>
      </c>
      <c r="F15" s="1885"/>
      <c r="G15" s="1855"/>
      <c r="H15" s="1856"/>
      <c r="I15" s="1875"/>
      <c r="J15" s="2462"/>
      <c r="K15" s="1858" t="s">
        <v>8</v>
      </c>
      <c r="L15" s="1862">
        <f>L14/25*7.5</f>
        <v>30.638999999999996</v>
      </c>
      <c r="M15" s="2488" t="str">
        <f>IF('1. XL-1E TT'!AB15="","",'1. XL-1E TT'!AB15)</f>
        <v/>
      </c>
      <c r="N15" s="1860" t="s">
        <v>10</v>
      </c>
      <c r="O15" s="2513"/>
      <c r="P15" s="1875"/>
      <c r="Q15" s="2462"/>
      <c r="R15" s="1858" t="s">
        <v>8</v>
      </c>
      <c r="S15" s="1862">
        <f>S14/25*7.5</f>
        <v>0</v>
      </c>
      <c r="T15" s="2488" t="str">
        <f>IF('1. XL-1E TT'!AF15="","",'1. XL-1E TT'!AF15)</f>
        <v/>
      </c>
      <c r="U15" s="1860" t="s">
        <v>10</v>
      </c>
      <c r="V15" s="2513"/>
      <c r="W15" s="1875"/>
      <c r="X15" s="2462"/>
      <c r="Y15" s="1858" t="s">
        <v>8</v>
      </c>
      <c r="Z15" s="1862">
        <f>Z14/25*7.5</f>
        <v>0</v>
      </c>
      <c r="AA15" s="2488" t="str">
        <f>IF('1. XL-1E TT'!AJ15="","",'1. XL-1E TT'!AJ15)</f>
        <v/>
      </c>
      <c r="AB15" s="1860" t="s">
        <v>10</v>
      </c>
      <c r="AC15" s="2513"/>
      <c r="AD15" s="1875"/>
      <c r="AE15" s="2462"/>
      <c r="AF15" s="1858" t="s">
        <v>8</v>
      </c>
      <c r="AG15" s="1862">
        <f>AG14/25*7.5</f>
        <v>0</v>
      </c>
      <c r="AH15" s="2488" t="str">
        <f>IF('1. XL-1E TT(CA2)'!AB15="","",'1. XL-1E TT(CA2)'!AB15)</f>
        <v/>
      </c>
      <c r="AI15" s="1860" t="s">
        <v>10</v>
      </c>
      <c r="AJ15" s="2513"/>
      <c r="AK15" s="1875"/>
      <c r="AL15" s="2462"/>
      <c r="AM15" s="1858" t="s">
        <v>8</v>
      </c>
      <c r="AN15" s="1862">
        <f>AN14/25*7.5</f>
        <v>0</v>
      </c>
      <c r="AO15" s="2488" t="str">
        <f>IF('1. XL-1E TT(CA2)'!AF15="","",'1. XL-1E TT(CA2)'!AF15)</f>
        <v/>
      </c>
      <c r="AP15" s="1860" t="s">
        <v>10</v>
      </c>
      <c r="AQ15" s="2513"/>
      <c r="AR15" s="1875"/>
      <c r="AS15" s="1857"/>
      <c r="AT15" s="1858" t="s">
        <v>8</v>
      </c>
      <c r="AU15" s="1862">
        <f>AU14/25*7.5</f>
        <v>0.87540000000000007</v>
      </c>
      <c r="AV15" s="1859" t="str">
        <f>IF('1. XL-1E TT(CA2)'!AJ15="","",'1. XL-1E TT(CA2)'!AJ15)</f>
        <v/>
      </c>
      <c r="AW15" s="1860" t="s">
        <v>10</v>
      </c>
      <c r="AX15" s="2704">
        <f>'R.FILE GOC'!AI66</f>
        <v>0</v>
      </c>
      <c r="AY15" s="2704">
        <f>'R.FILE GOC'!AJ66</f>
        <v>0</v>
      </c>
      <c r="AZ15" s="1875"/>
      <c r="BB15" s="264" t="s">
        <v>8</v>
      </c>
      <c r="BC15" s="264">
        <v>30.638999999999996</v>
      </c>
      <c r="BD15" s="264" t="s">
        <v>1496</v>
      </c>
      <c r="BE15" s="264" t="s">
        <v>10</v>
      </c>
      <c r="BF15" s="2068">
        <v>0</v>
      </c>
      <c r="BG15" s="2706">
        <v>0</v>
      </c>
    </row>
    <row r="16" spans="1:59" ht="34.5" customHeight="1">
      <c r="A16" s="993" t="s">
        <v>241</v>
      </c>
      <c r="B16" s="993" t="s">
        <v>214</v>
      </c>
      <c r="C16" s="994" t="s">
        <v>55</v>
      </c>
      <c r="D16" s="999" t="s">
        <v>4</v>
      </c>
      <c r="E16" s="13" t="str">
        <f>'XM.GUI MAIL'!E16</f>
        <v>130 - 150</v>
      </c>
      <c r="F16" s="1886" t="s">
        <v>1509</v>
      </c>
      <c r="G16" s="1831">
        <f>'XM.GUI MAIL'!G16</f>
        <v>140</v>
      </c>
      <c r="H16" s="86">
        <f>XM.HN!B13</f>
        <v>0</v>
      </c>
      <c r="I16" s="1755">
        <f>H16*8</f>
        <v>0</v>
      </c>
      <c r="J16" s="2463">
        <f>($G$16-I16)*19951/1000</f>
        <v>2793.14</v>
      </c>
      <c r="K16" s="1728" t="s">
        <v>8</v>
      </c>
      <c r="L16" s="1729">
        <f t="shared" si="0"/>
        <v>2793.14</v>
      </c>
      <c r="M16" s="2489"/>
      <c r="N16" s="1730" t="s">
        <v>9</v>
      </c>
      <c r="O16" s="2514">
        <f>XM.HN!C13</f>
        <v>16.7</v>
      </c>
      <c r="P16" s="1755">
        <f>O16*8</f>
        <v>133.6</v>
      </c>
      <c r="Q16" s="2463">
        <f>($G$16-P16)*19951/1000</f>
        <v>127.68640000000011</v>
      </c>
      <c r="R16" s="1728" t="s">
        <v>8</v>
      </c>
      <c r="S16" s="1729">
        <f t="shared" si="6"/>
        <v>127.68640000000011</v>
      </c>
      <c r="T16" s="2489"/>
      <c r="U16" s="1730" t="s">
        <v>9</v>
      </c>
      <c r="V16" s="2514">
        <f>XM.HN!D13</f>
        <v>17.600000000000001</v>
      </c>
      <c r="W16" s="1755">
        <f>V16*8</f>
        <v>140.80000000000001</v>
      </c>
      <c r="X16" s="2463">
        <f>($G$16-W16)*19951/1000</f>
        <v>-15.960800000000226</v>
      </c>
      <c r="Y16" s="1728" t="s">
        <v>8</v>
      </c>
      <c r="Z16" s="1729">
        <f t="shared" si="7"/>
        <v>0</v>
      </c>
      <c r="AA16" s="2489"/>
      <c r="AB16" s="1730" t="s">
        <v>9</v>
      </c>
      <c r="AC16" s="2514">
        <f>XM.HN!E13</f>
        <v>17.899999999999999</v>
      </c>
      <c r="AD16" s="1755">
        <f>AC16*8</f>
        <v>143.19999999999999</v>
      </c>
      <c r="AE16" s="2463">
        <f>($G$16-AD16)*19951/1000</f>
        <v>-63.843199999999769</v>
      </c>
      <c r="AF16" s="1728" t="s">
        <v>8</v>
      </c>
      <c r="AG16" s="1729">
        <f t="shared" si="8"/>
        <v>0</v>
      </c>
      <c r="AH16" s="2489"/>
      <c r="AI16" s="1730" t="s">
        <v>9</v>
      </c>
      <c r="AJ16" s="2514">
        <f>XM.HN!F13</f>
        <v>17.8</v>
      </c>
      <c r="AK16" s="1755">
        <f>AJ16*8</f>
        <v>142.4</v>
      </c>
      <c r="AL16" s="2463">
        <f>($G$16-AK16)*19951/1000</f>
        <v>-47.882400000000111</v>
      </c>
      <c r="AM16" s="1728" t="s">
        <v>8</v>
      </c>
      <c r="AN16" s="1729">
        <f t="shared" si="9"/>
        <v>0</v>
      </c>
      <c r="AO16" s="2489"/>
      <c r="AP16" s="1730" t="s">
        <v>9</v>
      </c>
      <c r="AQ16" s="2514">
        <f>XM.HN!G13</f>
        <v>17.8</v>
      </c>
      <c r="AR16" s="1755">
        <f>AQ16*8</f>
        <v>142.4</v>
      </c>
      <c r="AS16" s="1727">
        <f>($G$16-AR16)*19951/1000</f>
        <v>-47.882400000000111</v>
      </c>
      <c r="AT16" s="1728" t="s">
        <v>8</v>
      </c>
      <c r="AU16" s="1729">
        <f t="shared" si="10"/>
        <v>0</v>
      </c>
      <c r="AV16" s="1729"/>
      <c r="AW16" s="1730" t="s">
        <v>9</v>
      </c>
      <c r="AX16" s="2704">
        <f>'R.FILE GOC'!AI67</f>
        <v>15.035953785246829</v>
      </c>
      <c r="AY16" s="2704">
        <f>'R.FILE GOC'!AJ67</f>
        <v>0</v>
      </c>
      <c r="AZ16" s="1755">
        <v>136</v>
      </c>
      <c r="BA16" s="264">
        <v>79.804000000000002</v>
      </c>
      <c r="BB16" s="264" t="s">
        <v>8</v>
      </c>
      <c r="BC16" s="264">
        <v>79.804000000000002</v>
      </c>
      <c r="BE16" s="264" t="s">
        <v>9</v>
      </c>
      <c r="BF16" s="2068">
        <v>15.04823151125402</v>
      </c>
      <c r="BG16" s="2706">
        <v>0</v>
      </c>
    </row>
    <row r="17" spans="1:59" ht="34.5" customHeight="1">
      <c r="A17" s="44" t="s">
        <v>242</v>
      </c>
      <c r="B17" s="993" t="s">
        <v>214</v>
      </c>
      <c r="C17" s="988" t="s">
        <v>56</v>
      </c>
      <c r="D17" s="999" t="s">
        <v>4</v>
      </c>
      <c r="E17" s="13" t="str">
        <f>'XM.GUI MAIL'!E17</f>
        <v>8~12</v>
      </c>
      <c r="F17" s="1887" t="s">
        <v>1508</v>
      </c>
      <c r="G17" s="1831">
        <f>'XM.GUI MAIL'!G17</f>
        <v>10</v>
      </c>
      <c r="H17" s="86">
        <f>XM.HN!B14</f>
        <v>0</v>
      </c>
      <c r="I17" s="1761">
        <f>H17*1.3</f>
        <v>0</v>
      </c>
      <c r="J17" s="2463">
        <f>($G$17-I17)*19951/1000</f>
        <v>199.51</v>
      </c>
      <c r="K17" s="1728" t="s">
        <v>8</v>
      </c>
      <c r="L17" s="1729">
        <f t="shared" si="0"/>
        <v>199.51</v>
      </c>
      <c r="M17" s="2489"/>
      <c r="N17" s="1730" t="s">
        <v>976</v>
      </c>
      <c r="O17" s="2514">
        <f>XM.HN!C14</f>
        <v>9.8000000000000007</v>
      </c>
      <c r="P17" s="1761">
        <f>O17*1.3</f>
        <v>12.740000000000002</v>
      </c>
      <c r="Q17" s="2463">
        <f>($G$17-P17)*19951/1000</f>
        <v>-54.665740000000042</v>
      </c>
      <c r="R17" s="1728" t="s">
        <v>8</v>
      </c>
      <c r="S17" s="1729">
        <f t="shared" si="6"/>
        <v>0</v>
      </c>
      <c r="T17" s="2489"/>
      <c r="U17" s="1730" t="s">
        <v>1144</v>
      </c>
      <c r="V17" s="2514">
        <f>XM.HN!D14</f>
        <v>9.6</v>
      </c>
      <c r="W17" s="1761">
        <f>V17*1.3</f>
        <v>12.48</v>
      </c>
      <c r="X17" s="2463">
        <f>($G$17-W17)*19951/1000</f>
        <v>-49.478480000000012</v>
      </c>
      <c r="Y17" s="1728" t="s">
        <v>8</v>
      </c>
      <c r="Z17" s="1729">
        <f t="shared" si="7"/>
        <v>0</v>
      </c>
      <c r="AA17" s="2489"/>
      <c r="AB17" s="1730" t="s">
        <v>976</v>
      </c>
      <c r="AC17" s="2514">
        <f>XM.HN!E14</f>
        <v>8.8000000000000007</v>
      </c>
      <c r="AD17" s="1761">
        <f>AC17*1.3</f>
        <v>11.440000000000001</v>
      </c>
      <c r="AE17" s="2463">
        <f>($G$17-AD17)*19951/1000</f>
        <v>-28.729440000000025</v>
      </c>
      <c r="AF17" s="1728" t="s">
        <v>1145</v>
      </c>
      <c r="AG17" s="1729">
        <f t="shared" si="8"/>
        <v>0</v>
      </c>
      <c r="AH17" s="2489"/>
      <c r="AI17" s="1730" t="s">
        <v>976</v>
      </c>
      <c r="AJ17" s="2514">
        <f>XM.HN!F14</f>
        <v>8.3000000000000007</v>
      </c>
      <c r="AK17" s="1761">
        <f>AJ17*1.3</f>
        <v>10.790000000000001</v>
      </c>
      <c r="AL17" s="2463">
        <f>($G$17-AK17)*19951/1000</f>
        <v>-15.761290000000018</v>
      </c>
      <c r="AM17" s="1728" t="s">
        <v>8</v>
      </c>
      <c r="AN17" s="1729">
        <f t="shared" si="9"/>
        <v>0</v>
      </c>
      <c r="AO17" s="2489"/>
      <c r="AP17" s="1730" t="s">
        <v>976</v>
      </c>
      <c r="AQ17" s="2514">
        <f>XM.HN!G14</f>
        <v>8.15</v>
      </c>
      <c r="AR17" s="1761">
        <f>AQ17*1.3</f>
        <v>10.595000000000001</v>
      </c>
      <c r="AS17" s="1727">
        <f>($G$17-AR17)*19951/1000</f>
        <v>-11.870845000000012</v>
      </c>
      <c r="AT17" s="1728" t="s">
        <v>8</v>
      </c>
      <c r="AU17" s="1729">
        <f t="shared" si="10"/>
        <v>0</v>
      </c>
      <c r="AV17" s="1729"/>
      <c r="AW17" s="1730" t="s">
        <v>976</v>
      </c>
      <c r="AX17" s="2704">
        <f>'R.FILE GOC'!AI68</f>
        <v>12.3</v>
      </c>
      <c r="AY17" s="2704">
        <f>'R.FILE GOC'!AJ68</f>
        <v>0</v>
      </c>
      <c r="AZ17" s="1761">
        <v>13.78</v>
      </c>
      <c r="BA17" s="264">
        <v>-75.414779999999979</v>
      </c>
      <c r="BB17" s="264" t="s">
        <v>8</v>
      </c>
      <c r="BC17" s="264">
        <v>0</v>
      </c>
      <c r="BE17" s="264" t="s">
        <v>9</v>
      </c>
      <c r="BF17" s="2068">
        <v>12.1</v>
      </c>
      <c r="BG17" s="2706">
        <v>0</v>
      </c>
    </row>
    <row r="18" spans="1:59" ht="34.5" customHeight="1">
      <c r="A18" s="274" t="s">
        <v>248</v>
      </c>
      <c r="B18" s="993" t="s">
        <v>214</v>
      </c>
      <c r="C18" s="997" t="s">
        <v>968</v>
      </c>
      <c r="D18" s="999" t="s">
        <v>3</v>
      </c>
      <c r="E18" s="13" t="str">
        <f>'XM.GUI MAIL'!E18</f>
        <v xml:space="preserve">12~18 </v>
      </c>
      <c r="F18" s="1887" t="str">
        <f>'XM.GUI MAIL'!F18</f>
        <v>(14±2)</v>
      </c>
      <c r="G18" s="1065">
        <f>'XM.GUI MAIL'!G18</f>
        <v>14</v>
      </c>
      <c r="H18" s="86">
        <f>XM.HN!B15</f>
        <v>0</v>
      </c>
      <c r="I18" s="1731">
        <f>H18*100/6.95/10</f>
        <v>0</v>
      </c>
      <c r="J18" s="2463">
        <f>($G$18-I18)*575/100</f>
        <v>80.5</v>
      </c>
      <c r="K18" s="1728" t="s">
        <v>8</v>
      </c>
      <c r="L18" s="1729">
        <f t="shared" si="0"/>
        <v>80.5</v>
      </c>
      <c r="M18" s="2489"/>
      <c r="N18" s="1732" t="s">
        <v>10</v>
      </c>
      <c r="O18" s="2515">
        <f>XM.HN!C15</f>
        <v>11</v>
      </c>
      <c r="P18" s="1731">
        <f>O18*100/6.95/10</f>
        <v>15.827338129496402</v>
      </c>
      <c r="Q18" s="2463">
        <f>($G$18-P18)*575/100</f>
        <v>-10.507194244604314</v>
      </c>
      <c r="R18" s="1728" t="s">
        <v>8</v>
      </c>
      <c r="S18" s="1729">
        <f t="shared" si="6"/>
        <v>0</v>
      </c>
      <c r="T18" s="2489"/>
      <c r="U18" s="1732" t="s">
        <v>10</v>
      </c>
      <c r="V18" s="2510">
        <f>XM.HN!D15</f>
        <v>11</v>
      </c>
      <c r="W18" s="1731">
        <f>V18*100/6.95/10</f>
        <v>15.827338129496402</v>
      </c>
      <c r="X18" s="2463">
        <f>($G$18-W18)*575/100</f>
        <v>-10.507194244604314</v>
      </c>
      <c r="Y18" s="1728" t="s">
        <v>8</v>
      </c>
      <c r="Z18" s="1729">
        <f t="shared" si="7"/>
        <v>0</v>
      </c>
      <c r="AA18" s="2489"/>
      <c r="AB18" s="1730" t="s">
        <v>10</v>
      </c>
      <c r="AC18" s="2542">
        <f>XM.HN!E15</f>
        <v>12.6</v>
      </c>
      <c r="AD18" s="1731">
        <v>15.8</v>
      </c>
      <c r="AE18" s="2463">
        <f>($G$18-AD18)*575/100</f>
        <v>-10.350000000000005</v>
      </c>
      <c r="AF18" s="1728" t="s">
        <v>8</v>
      </c>
      <c r="AG18" s="1729">
        <f t="shared" si="8"/>
        <v>0</v>
      </c>
      <c r="AH18" s="2489"/>
      <c r="AI18" s="1732" t="s">
        <v>10</v>
      </c>
      <c r="AJ18" s="2510">
        <f>XM.HN!F15</f>
        <v>10.6</v>
      </c>
      <c r="AK18" s="1731">
        <f>AJ18*100/6.95/10</f>
        <v>15.25179856115108</v>
      </c>
      <c r="AL18" s="2463">
        <f>($G$18-AK18)*575/100</f>
        <v>-7.1978417266187114</v>
      </c>
      <c r="AM18" s="1728" t="s">
        <v>8</v>
      </c>
      <c r="AN18" s="1729">
        <f t="shared" si="9"/>
        <v>0</v>
      </c>
      <c r="AO18" s="2489"/>
      <c r="AP18" s="1732" t="s">
        <v>10</v>
      </c>
      <c r="AQ18" s="2510">
        <f>XM.HN!G15</f>
        <v>10.199999999999999</v>
      </c>
      <c r="AR18" s="1731">
        <f>AQ18*100/6.95/10</f>
        <v>14.676258992805753</v>
      </c>
      <c r="AS18" s="1727">
        <f>($G$18-AR18)*575/100</f>
        <v>-3.8884892086330796</v>
      </c>
      <c r="AT18" s="1728" t="s">
        <v>8</v>
      </c>
      <c r="AU18" s="1729">
        <f t="shared" si="10"/>
        <v>0</v>
      </c>
      <c r="AV18" s="1729"/>
      <c r="AW18" s="1730" t="s">
        <v>10</v>
      </c>
      <c r="AX18" s="2704" t="str">
        <f>'R.FILE GOC'!AI69</f>
        <v/>
      </c>
      <c r="AY18" s="2704">
        <f>'R.FILE GOC'!AJ69</f>
        <v>0</v>
      </c>
      <c r="AZ18" s="1731">
        <v>0</v>
      </c>
      <c r="BA18" s="264">
        <v>80.5</v>
      </c>
      <c r="BB18" s="264" t="s">
        <v>8</v>
      </c>
      <c r="BC18" s="264">
        <v>80.5</v>
      </c>
      <c r="BE18" s="264" t="s">
        <v>10</v>
      </c>
      <c r="BF18" s="2068" t="s">
        <v>1496</v>
      </c>
      <c r="BG18" s="2706">
        <v>0</v>
      </c>
    </row>
    <row r="19" spans="1:59" ht="34.5" customHeight="1">
      <c r="A19" s="274" t="s">
        <v>250</v>
      </c>
      <c r="B19" s="993" t="s">
        <v>214</v>
      </c>
      <c r="C19" s="277"/>
      <c r="D19" s="999" t="s">
        <v>5</v>
      </c>
      <c r="E19" s="13" t="str">
        <f>'XM.GUI MAIL'!E19</f>
        <v>1.5~1.9</v>
      </c>
      <c r="F19" s="1886" t="str">
        <f>'XM.GUI MAIL'!F19</f>
        <v>(1.7±0.1 )</v>
      </c>
      <c r="G19" s="1065">
        <f>'XM.GUI MAIL'!G19</f>
        <v>0</v>
      </c>
      <c r="H19" s="86"/>
      <c r="I19" s="2176">
        <f>XM.HN!B23</f>
        <v>0</v>
      </c>
      <c r="J19" s="2464"/>
      <c r="K19" s="1734"/>
      <c r="L19" s="1734"/>
      <c r="M19" s="2466"/>
      <c r="N19" s="1735"/>
      <c r="O19" s="2516"/>
      <c r="P19" s="2176">
        <f>XM.HN!C23</f>
        <v>1.63</v>
      </c>
      <c r="Q19" s="2464"/>
      <c r="R19" s="1734"/>
      <c r="S19" s="1734"/>
      <c r="T19" s="2466"/>
      <c r="U19" s="1735"/>
      <c r="V19" s="2543"/>
      <c r="W19" s="2176">
        <f>XM.HN!D23</f>
        <v>1.64</v>
      </c>
      <c r="X19" s="2464"/>
      <c r="Y19" s="1734"/>
      <c r="Z19" s="1734"/>
      <c r="AA19" s="2466"/>
      <c r="AB19" s="1869"/>
      <c r="AC19" s="2543"/>
      <c r="AD19" s="2176">
        <f>XM.HN!E23</f>
        <v>1.8</v>
      </c>
      <c r="AE19" s="2464"/>
      <c r="AF19" s="1734"/>
      <c r="AG19" s="1734"/>
      <c r="AH19" s="2466"/>
      <c r="AI19" s="1735"/>
      <c r="AJ19" s="2514"/>
      <c r="AK19" s="2176">
        <f>XM.HN!F23</f>
        <v>1.8</v>
      </c>
      <c r="AL19" s="2464"/>
      <c r="AM19" s="1734"/>
      <c r="AN19" s="1734"/>
      <c r="AO19" s="2466"/>
      <c r="AP19" s="1735"/>
      <c r="AQ19" s="2514"/>
      <c r="AR19" s="2176">
        <f>XM.HN!G23</f>
        <v>1.76</v>
      </c>
      <c r="AS19" s="1762"/>
      <c r="AT19" s="1728"/>
      <c r="AU19" s="1729"/>
      <c r="AV19" s="1729"/>
      <c r="AW19" s="1771"/>
      <c r="AX19" s="2704" t="str">
        <f>'R.FILE GOC'!AI70</f>
        <v/>
      </c>
      <c r="AY19" s="2704">
        <f>'R.FILE GOC'!AJ70</f>
        <v>0</v>
      </c>
      <c r="AZ19" s="1761">
        <v>0</v>
      </c>
      <c r="BF19" s="2068" t="s">
        <v>1496</v>
      </c>
      <c r="BG19" s="2706">
        <v>0</v>
      </c>
    </row>
    <row r="20" spans="1:59" ht="34.5" customHeight="1">
      <c r="A20" s="44" t="s">
        <v>243</v>
      </c>
      <c r="B20" s="993" t="s">
        <v>214</v>
      </c>
      <c r="C20" s="994" t="s">
        <v>57</v>
      </c>
      <c r="D20" s="999" t="s">
        <v>6</v>
      </c>
      <c r="E20" s="13" t="str">
        <f>'XM.GUI MAIL'!E20</f>
        <v xml:space="preserve">40~50 </v>
      </c>
      <c r="F20" s="1886" t="str">
        <f>'XM.GUI MAIL'!F20</f>
        <v>(45±5)</v>
      </c>
      <c r="G20" s="1334">
        <f>'XM.GUI MAIL'!G20</f>
        <v>0.45</v>
      </c>
      <c r="H20" s="86">
        <f>XM.HN!B17</f>
        <v>0</v>
      </c>
      <c r="I20" s="1736">
        <f>(1*H20*36.5)/(1*10)/32%/100</f>
        <v>0</v>
      </c>
      <c r="J20" s="2465">
        <f>($G$20-I20)*2122</f>
        <v>954.9</v>
      </c>
      <c r="K20" s="1738" t="s">
        <v>8</v>
      </c>
      <c r="L20" s="1739">
        <f>IF(J20&lt;0,0,J20)</f>
        <v>954.9</v>
      </c>
      <c r="M20" s="2490"/>
      <c r="N20" s="1740" t="s">
        <v>10</v>
      </c>
      <c r="O20" s="2517">
        <f>XM.HN!C17</f>
        <v>3.8</v>
      </c>
      <c r="P20" s="1736">
        <f>(1*O20*36.5)/(1*10)/32%/100</f>
        <v>0.43343749999999998</v>
      </c>
      <c r="Q20" s="2465">
        <f>($G$20-P20)*2122</f>
        <v>35.145625000000074</v>
      </c>
      <c r="R20" s="1738" t="s">
        <v>8</v>
      </c>
      <c r="S20" s="1739">
        <f>IF(Q20&lt;0,0,Q20)</f>
        <v>35.145625000000074</v>
      </c>
      <c r="T20" s="2490"/>
      <c r="U20" s="1740" t="s">
        <v>10</v>
      </c>
      <c r="V20" s="2517">
        <f>XM.HN!D17</f>
        <v>4.2</v>
      </c>
      <c r="W20" s="1736">
        <f>(1*V20*36.5)/(1*10)/32%/100</f>
        <v>0.47906250000000006</v>
      </c>
      <c r="X20" s="2465">
        <f>($G$20-W20)*2122</f>
        <v>-61.670625000000101</v>
      </c>
      <c r="Y20" s="1738" t="s">
        <v>8</v>
      </c>
      <c r="Z20" s="1739">
        <f>IF(X20&lt;0,0,X20)</f>
        <v>0</v>
      </c>
      <c r="AA20" s="2490"/>
      <c r="AB20" s="1740" t="s">
        <v>10</v>
      </c>
      <c r="AC20" s="2517">
        <f>XM.HN!E17</f>
        <v>4.3</v>
      </c>
      <c r="AD20" s="1736">
        <f>(1*AC20*36.5)/(1*10)/32%/100</f>
        <v>0.49046874999999995</v>
      </c>
      <c r="AE20" s="2465">
        <f>($G$20-AD20)*2122</f>
        <v>-85.874687499999879</v>
      </c>
      <c r="AF20" s="1738" t="s">
        <v>8</v>
      </c>
      <c r="AG20" s="1739">
        <f>IF(AE20&lt;0,0,AE20)</f>
        <v>0</v>
      </c>
      <c r="AH20" s="2490"/>
      <c r="AI20" s="1740" t="s">
        <v>10</v>
      </c>
      <c r="AJ20" s="2514">
        <f>XM.HN!F17</f>
        <v>4.0999999999999996</v>
      </c>
      <c r="AK20" s="1736">
        <f>(1*AJ20*36.5)/(1*10)/32%/100</f>
        <v>0.46765624999999994</v>
      </c>
      <c r="AL20" s="2465">
        <f>($G$20-AK20)*2122</f>
        <v>-37.466562499999853</v>
      </c>
      <c r="AM20" s="1738" t="s">
        <v>8</v>
      </c>
      <c r="AN20" s="1739">
        <f>IF(AL20&lt;0,0,AL20)</f>
        <v>0</v>
      </c>
      <c r="AO20" s="2490"/>
      <c r="AP20" s="1740" t="s">
        <v>10</v>
      </c>
      <c r="AQ20" s="2514">
        <f>XM.HN!G17</f>
        <v>4.05</v>
      </c>
      <c r="AR20" s="1736">
        <f>(1*AQ20*36.5)/(1*10)/32%/100</f>
        <v>0.46195312499999991</v>
      </c>
      <c r="AS20" s="1737">
        <f>($G$20-AR20)*2122</f>
        <v>-25.364531249999782</v>
      </c>
      <c r="AT20" s="1738" t="s">
        <v>8</v>
      </c>
      <c r="AU20" s="1739">
        <f>IF(AS20&lt;0,0,AS20)</f>
        <v>0</v>
      </c>
      <c r="AV20" s="1739"/>
      <c r="AW20" s="1740" t="s">
        <v>10</v>
      </c>
      <c r="AX20" s="2704">
        <f>'R.FILE GOC'!AI71</f>
        <v>0.43407043407043394</v>
      </c>
      <c r="AY20" s="2704">
        <f>'R.FILE GOC'!AJ71</f>
        <v>0</v>
      </c>
      <c r="AZ20" s="1736">
        <v>0</v>
      </c>
      <c r="BA20" s="264">
        <v>954.9</v>
      </c>
      <c r="BB20" s="264" t="s">
        <v>8</v>
      </c>
      <c r="BC20" s="264">
        <v>954.9</v>
      </c>
      <c r="BE20" s="264" t="s">
        <v>10</v>
      </c>
      <c r="BF20" s="2068">
        <v>0.57232913072329272</v>
      </c>
      <c r="BG20" s="2706">
        <v>0</v>
      </c>
    </row>
    <row r="21" spans="1:59" ht="34.5" hidden="1" customHeight="1">
      <c r="A21" s="275" t="s">
        <v>244</v>
      </c>
      <c r="B21" s="993" t="s">
        <v>214</v>
      </c>
      <c r="C21" s="994" t="s">
        <v>58</v>
      </c>
      <c r="D21" s="999" t="s">
        <v>6</v>
      </c>
      <c r="E21" s="13" t="str">
        <f>'XM.GUI MAIL'!E21</f>
        <v>(22±5) =17~27</v>
      </c>
      <c r="F21" s="2139" t="str">
        <f>'XM.GUI MAIL'!F21</f>
        <v>(22±5)</v>
      </c>
      <c r="G21" s="1334">
        <f>'XM.GUI MAIL'!G21</f>
        <v>0.22</v>
      </c>
      <c r="H21" s="86">
        <f>XM.HN!B18</f>
        <v>0</v>
      </c>
      <c r="I21" s="1765">
        <f>(1*H21*36.5)/(1*10)/32%/100</f>
        <v>0</v>
      </c>
      <c r="J21" s="2465">
        <f>($G$21-I21)*612</f>
        <v>134.64000000000001</v>
      </c>
      <c r="K21" s="1738" t="s">
        <v>8</v>
      </c>
      <c r="L21" s="1739">
        <f>IF(J21&lt;0,0,J21)</f>
        <v>134.64000000000001</v>
      </c>
      <c r="M21" s="2490"/>
      <c r="N21" s="1740" t="s">
        <v>10</v>
      </c>
      <c r="O21" s="2518">
        <f>XM.HN!C18</f>
        <v>0</v>
      </c>
      <c r="P21" s="1765">
        <f>(1*O21*36.5)/(1*10)/32%/100</f>
        <v>0</v>
      </c>
      <c r="Q21" s="2465">
        <f>($G$21-P21)*612</f>
        <v>134.64000000000001</v>
      </c>
      <c r="R21" s="1738" t="s">
        <v>8</v>
      </c>
      <c r="S21" s="1739">
        <f>IF(Q21&lt;0,0,Q21)</f>
        <v>134.64000000000001</v>
      </c>
      <c r="T21" s="2490"/>
      <c r="U21" s="1740" t="s">
        <v>10</v>
      </c>
      <c r="V21" s="2517">
        <f>XM.HN!D18</f>
        <v>0</v>
      </c>
      <c r="W21" s="1765">
        <f>(1*V21*36.5)/(1*10)/32%/100</f>
        <v>0</v>
      </c>
      <c r="X21" s="2465">
        <f>($G$21-W21)*612</f>
        <v>134.64000000000001</v>
      </c>
      <c r="Y21" s="1738" t="s">
        <v>8</v>
      </c>
      <c r="Z21" s="1739">
        <f>IF(X21&lt;0,0,X21)</f>
        <v>134.64000000000001</v>
      </c>
      <c r="AA21" s="2490"/>
      <c r="AB21" s="1740" t="s">
        <v>10</v>
      </c>
      <c r="AC21" s="2517">
        <f>XM.HN!E18</f>
        <v>0</v>
      </c>
      <c r="AD21" s="1765">
        <f>(1*AC21*36.5)/(1*10)/32%/100</f>
        <v>0</v>
      </c>
      <c r="AE21" s="2465">
        <f>($G$21-AD21)*612</f>
        <v>134.64000000000001</v>
      </c>
      <c r="AF21" s="1738" t="s">
        <v>8</v>
      </c>
      <c r="AG21" s="1739">
        <f>IF(AE21&lt;0,0,AE21)</f>
        <v>134.64000000000001</v>
      </c>
      <c r="AH21" s="2490"/>
      <c r="AI21" s="1740" t="s">
        <v>10</v>
      </c>
      <c r="AJ21" s="2517">
        <f>XM.HN!F18</f>
        <v>0</v>
      </c>
      <c r="AK21" s="1765">
        <f>(1*AJ21*36.5)/(1*10)/32%/100</f>
        <v>0</v>
      </c>
      <c r="AL21" s="2465">
        <f>($G$21-AK21)*612</f>
        <v>134.64000000000001</v>
      </c>
      <c r="AM21" s="1738" t="s">
        <v>8</v>
      </c>
      <c r="AN21" s="1739">
        <f>IF(AL21&lt;0,0,AL21)</f>
        <v>134.64000000000001</v>
      </c>
      <c r="AO21" s="2490"/>
      <c r="AP21" s="1740" t="s">
        <v>10</v>
      </c>
      <c r="AQ21" s="2517">
        <f>XM.HN!G18</f>
        <v>0</v>
      </c>
      <c r="AR21" s="1765">
        <f>(1*AQ21*36.5)/(1*10)/32%/100</f>
        <v>0</v>
      </c>
      <c r="AS21" s="1737">
        <f>($G$21-AR21)*612</f>
        <v>134.64000000000001</v>
      </c>
      <c r="AT21" s="1738" t="s">
        <v>8</v>
      </c>
      <c r="AU21" s="1739">
        <f>IF(AS21&lt;0,0,AS21)</f>
        <v>134.64000000000001</v>
      </c>
      <c r="AV21" s="1739"/>
      <c r="AW21" s="1740" t="s">
        <v>10</v>
      </c>
      <c r="AX21" s="2068">
        <f>'R.FILE GOC'!AI72</f>
        <v>0.26837996096291455</v>
      </c>
      <c r="AY21" s="2068">
        <f>'R.FILE GOC'!AJ72</f>
        <v>0</v>
      </c>
      <c r="AZ21" s="1765">
        <v>0</v>
      </c>
      <c r="BA21" s="264">
        <v>134.64000000000001</v>
      </c>
      <c r="BB21" s="264" t="s">
        <v>8</v>
      </c>
      <c r="BC21" s="264">
        <v>134.64000000000001</v>
      </c>
      <c r="BE21" s="264" t="s">
        <v>10</v>
      </c>
      <c r="BF21" s="2068">
        <v>0.36169208995125185</v>
      </c>
      <c r="BG21" s="264">
        <v>0</v>
      </c>
    </row>
    <row r="22" spans="1:59" ht="34.5" hidden="1" customHeight="1">
      <c r="A22" s="275" t="s">
        <v>245</v>
      </c>
      <c r="B22" s="993" t="s">
        <v>214</v>
      </c>
      <c r="C22" s="994" t="s">
        <v>59</v>
      </c>
      <c r="D22" s="44" t="s">
        <v>6</v>
      </c>
      <c r="E22" s="13" t="str">
        <f>'XM.GUI MAIL'!E22</f>
        <v>5~15</v>
      </c>
      <c r="F22" s="2139" t="str">
        <f>'XM.GUI MAIL'!F22</f>
        <v>(10±3)</v>
      </c>
      <c r="G22" s="1334">
        <f>'XM.GUI MAIL'!G22</f>
        <v>0.1</v>
      </c>
      <c r="H22" s="86">
        <f>XM.HN!B19</f>
        <v>0</v>
      </c>
      <c r="I22" s="1765">
        <f>(1*H22*36.5)/(5*10)/32%/100</f>
        <v>0</v>
      </c>
      <c r="J22" s="2466">
        <f>($G$22-I22)*575</f>
        <v>57.5</v>
      </c>
      <c r="K22" s="1738" t="s">
        <v>8</v>
      </c>
      <c r="L22" s="1739">
        <f>IF(J22&lt;0,0,J22)</f>
        <v>57.5</v>
      </c>
      <c r="M22" s="2490"/>
      <c r="N22" s="1740" t="s">
        <v>10</v>
      </c>
      <c r="O22" s="2519">
        <f>XM.HN!C19</f>
        <v>5.9</v>
      </c>
      <c r="P22" s="1765">
        <f>(1*O22*36.5)/(5*10)/32%/100</f>
        <v>0.13459375000000001</v>
      </c>
      <c r="Q22" s="2466">
        <f>($G$22-P22)*575</f>
        <v>-19.891406250000003</v>
      </c>
      <c r="R22" s="1738" t="s">
        <v>8</v>
      </c>
      <c r="S22" s="1739">
        <f>IF(Q22&lt;0,0,Q22)</f>
        <v>0</v>
      </c>
      <c r="T22" s="2490"/>
      <c r="U22" s="1740" t="s">
        <v>10</v>
      </c>
      <c r="V22" s="2519">
        <f>XM.HN!D19</f>
        <v>8.1</v>
      </c>
      <c r="W22" s="1765">
        <f>(1*V22*36.5)/(5*10)/32%/100</f>
        <v>0.18478124999999998</v>
      </c>
      <c r="X22" s="2466">
        <f>($G$22-W22)*575</f>
        <v>-48.749218749999983</v>
      </c>
      <c r="Y22" s="1738" t="s">
        <v>8</v>
      </c>
      <c r="Z22" s="1739">
        <f>IF(X22&lt;0,0,X22)</f>
        <v>0</v>
      </c>
      <c r="AA22" s="2490"/>
      <c r="AB22" s="1740" t="s">
        <v>10</v>
      </c>
      <c r="AC22" s="2519">
        <f>XM.HN!E19</f>
        <v>7.5</v>
      </c>
      <c r="AD22" s="1765">
        <f>(1*AC22*36.5)/(5*10)/32%/100</f>
        <v>0.17109374999999999</v>
      </c>
      <c r="AE22" s="2466">
        <f>($G$22-AD22)*575</f>
        <v>-40.878906249999993</v>
      </c>
      <c r="AF22" s="1738" t="s">
        <v>8</v>
      </c>
      <c r="AG22" s="1739">
        <f>IF(AE22&lt;0,0,AE22)</f>
        <v>0</v>
      </c>
      <c r="AH22" s="2490"/>
      <c r="AI22" s="1740" t="s">
        <v>10</v>
      </c>
      <c r="AJ22" s="2519">
        <f>XM.HN!F19</f>
        <v>6.7</v>
      </c>
      <c r="AK22" s="1765">
        <f>(1*AJ22*36.5)/(5*10)/32%/100</f>
        <v>0.15284375</v>
      </c>
      <c r="AL22" s="2466">
        <f>($G$22-AK22)*575</f>
        <v>-30.385156249999998</v>
      </c>
      <c r="AM22" s="1738" t="s">
        <v>8</v>
      </c>
      <c r="AN22" s="1739">
        <f>IF(AL22&lt;0,0,AL22)</f>
        <v>0</v>
      </c>
      <c r="AO22" s="2490"/>
      <c r="AP22" s="1740" t="s">
        <v>10</v>
      </c>
      <c r="AQ22" s="2519">
        <f>XM.HN!G19</f>
        <v>5</v>
      </c>
      <c r="AR22" s="1765">
        <f>(1*AQ22*36.5)/(5*10)/32%/100</f>
        <v>0.1140625</v>
      </c>
      <c r="AS22" s="1734">
        <f>($G$22-AR22)*575</f>
        <v>-8.0859374999999947</v>
      </c>
      <c r="AT22" s="1738" t="s">
        <v>8</v>
      </c>
      <c r="AU22" s="1739">
        <f>IF(AS22&lt;0,0,AS22)</f>
        <v>0</v>
      </c>
      <c r="AV22" s="1739"/>
      <c r="AW22" s="1740" t="s">
        <v>10</v>
      </c>
      <c r="AY22" s="2068">
        <f>'R.FILE GOC'!AJ73</f>
        <v>0</v>
      </c>
      <c r="AZ22" s="1765">
        <v>0</v>
      </c>
      <c r="BA22" s="264">
        <v>57.5</v>
      </c>
      <c r="BB22" s="264" t="s">
        <v>8</v>
      </c>
      <c r="BC22" s="264">
        <v>57.5</v>
      </c>
      <c r="BE22" s="264" t="s">
        <v>10</v>
      </c>
      <c r="BF22" s="2069"/>
      <c r="BG22" s="264">
        <v>0</v>
      </c>
    </row>
    <row r="23" spans="1:59" ht="34.5" customHeight="1">
      <c r="A23" s="275" t="s">
        <v>246</v>
      </c>
      <c r="B23" s="993" t="s">
        <v>214</v>
      </c>
      <c r="C23" s="994" t="s">
        <v>145</v>
      </c>
      <c r="D23" s="1036" t="s">
        <v>982</v>
      </c>
      <c r="E23" s="13" t="str">
        <f>'XM.GUI MAIL'!E23</f>
        <v>0.5~1.0</v>
      </c>
      <c r="F23" s="2139" t="str">
        <f>'XM.GUI MAIL'!F23</f>
        <v>(0.7±0.1)</v>
      </c>
      <c r="G23" s="1334">
        <f>'XM.GUI MAIL'!G23</f>
        <v>7.0000000000000001E-3</v>
      </c>
      <c r="H23" s="86">
        <f>XM.HN!B20</f>
        <v>0</v>
      </c>
      <c r="I23" s="1767">
        <f>(H23*0.126)/100</f>
        <v>0</v>
      </c>
      <c r="J23" s="2465">
        <f>($G$23-I23)*530/65%/1.51</f>
        <v>3.7799286805909325</v>
      </c>
      <c r="K23" s="1738" t="s">
        <v>8</v>
      </c>
      <c r="L23" s="1866">
        <f>IF(J23&lt;0,0,J23)</f>
        <v>3.7799286805909325</v>
      </c>
      <c r="M23" s="2491"/>
      <c r="N23" s="1740" t="s">
        <v>10</v>
      </c>
      <c r="O23" s="2517">
        <f>XM.HN!C20</f>
        <v>0</v>
      </c>
      <c r="P23" s="1767">
        <f>(O23*0.126)/100</f>
        <v>0</v>
      </c>
      <c r="Q23" s="2465">
        <f>($G$23-P23)*530/65%/1.51</f>
        <v>3.7799286805909325</v>
      </c>
      <c r="R23" s="1738" t="s">
        <v>8</v>
      </c>
      <c r="S23" s="1866">
        <f>IF(Q23&lt;0,0,Q23)</f>
        <v>3.7799286805909325</v>
      </c>
      <c r="T23" s="2491"/>
      <c r="U23" s="1740" t="s">
        <v>10</v>
      </c>
      <c r="V23" s="2517">
        <f>XM.HN!D20</f>
        <v>0</v>
      </c>
      <c r="W23" s="1767">
        <f>(V23*0.126)/100</f>
        <v>0</v>
      </c>
      <c r="X23" s="2465">
        <f>($G$23-W23)*530/65%/1.51</f>
        <v>3.7799286805909325</v>
      </c>
      <c r="Y23" s="1738" t="s">
        <v>8</v>
      </c>
      <c r="Z23" s="1866">
        <f>IF(X23&lt;0,0,X23)</f>
        <v>3.7799286805909325</v>
      </c>
      <c r="AA23" s="2491"/>
      <c r="AB23" s="1740" t="s">
        <v>10</v>
      </c>
      <c r="AC23" s="2517">
        <f>XM.HN!E20</f>
        <v>6.5</v>
      </c>
      <c r="AD23" s="1767">
        <v>7.0000000000000001E-3</v>
      </c>
      <c r="AE23" s="2465">
        <f>($G$23-AD23)*530/65%/1.51</f>
        <v>0</v>
      </c>
      <c r="AF23" s="1738" t="s">
        <v>8</v>
      </c>
      <c r="AG23" s="1866">
        <f>IF(AE23&lt;0,0,AE23)</f>
        <v>0</v>
      </c>
      <c r="AH23" s="2491"/>
      <c r="AI23" s="1740" t="s">
        <v>10</v>
      </c>
      <c r="AJ23" s="2514">
        <f>XM.HN!F20</f>
        <v>7.1</v>
      </c>
      <c r="AK23" s="1767">
        <v>6.7999999999999996E-3</v>
      </c>
      <c r="AL23" s="2465">
        <f>($G$23-AK23)*530/65%/1.51</f>
        <v>0.10799796230259832</v>
      </c>
      <c r="AM23" s="1738" t="s">
        <v>8</v>
      </c>
      <c r="AN23" s="1866">
        <f>IF(AL23&lt;0,0,AL23)</f>
        <v>0.10799796230259832</v>
      </c>
      <c r="AO23" s="2491"/>
      <c r="AP23" s="1740" t="s">
        <v>10</v>
      </c>
      <c r="AQ23" s="2514">
        <f>XM.HN!G20</f>
        <v>6</v>
      </c>
      <c r="AR23" s="1767">
        <f>(AQ23*0.126)/100</f>
        <v>7.5599999999999999E-3</v>
      </c>
      <c r="AS23" s="1737">
        <f>($G$23-AR23)*530/65%/1.51</f>
        <v>-0.30239429444727439</v>
      </c>
      <c r="AT23" s="1738" t="s">
        <v>8</v>
      </c>
      <c r="AU23" s="1866">
        <f>IF(AS23&lt;0,0,AS23)</f>
        <v>0</v>
      </c>
      <c r="AV23" s="1866"/>
      <c r="AW23" s="1740" t="s">
        <v>10</v>
      </c>
      <c r="AY23" s="2068"/>
      <c r="AZ23" s="1767">
        <v>0</v>
      </c>
      <c r="BA23" s="264">
        <v>3.7799286805909325</v>
      </c>
      <c r="BB23" s="264" t="s">
        <v>8</v>
      </c>
      <c r="BC23" s="264">
        <v>3.7799286805909325</v>
      </c>
      <c r="BE23" s="264" t="s">
        <v>10</v>
      </c>
      <c r="BF23" s="2069"/>
    </row>
    <row r="24" spans="1:59" ht="43.5" customHeight="1">
      <c r="A24" s="274" t="s">
        <v>247</v>
      </c>
      <c r="B24" s="993" t="s">
        <v>214</v>
      </c>
      <c r="C24" s="995" t="s">
        <v>73</v>
      </c>
      <c r="D24" s="44" t="s">
        <v>3</v>
      </c>
      <c r="E24" s="13" t="str">
        <f>'XM.GUI MAIL'!E24</f>
        <v>5~10</v>
      </c>
      <c r="F24" s="1886" t="str">
        <f>'XM.GUI MAIL'!F24</f>
        <v>(7.5±1)</v>
      </c>
      <c r="G24" s="1065">
        <f>'XM.GUI MAIL'!G24</f>
        <v>7.5</v>
      </c>
      <c r="H24" s="86">
        <f>XM.HN!B21</f>
        <v>0</v>
      </c>
      <c r="I24" s="1833">
        <f>H24*(0.1*100)/(5*3.12)</f>
        <v>0</v>
      </c>
      <c r="J24" s="2467">
        <f>($G$24-I24)*575/95</f>
        <v>45.39473684210526</v>
      </c>
      <c r="K24" s="1738" t="s">
        <v>8</v>
      </c>
      <c r="L24" s="2174">
        <f>IF(J24&lt;0,0,J24)</f>
        <v>45.39473684210526</v>
      </c>
      <c r="M24" s="2492"/>
      <c r="N24" s="1759" t="s">
        <v>10</v>
      </c>
      <c r="O24" s="2517">
        <f>XM.HN!C21</f>
        <v>12</v>
      </c>
      <c r="P24" s="1833">
        <f>O24*(0.1*100)/(5*3.12)</f>
        <v>7.6923076923076916</v>
      </c>
      <c r="Q24" s="2467">
        <f>($G$24-P24)*575/95</f>
        <v>-1.1639676113360282</v>
      </c>
      <c r="R24" s="1738" t="s">
        <v>8</v>
      </c>
      <c r="S24" s="2174">
        <f>IF(Q24&lt;0,0,Q24)</f>
        <v>0</v>
      </c>
      <c r="T24" s="2492"/>
      <c r="U24" s="1759" t="s">
        <v>10</v>
      </c>
      <c r="V24" s="2517">
        <f>XM.HN!D21</f>
        <v>12</v>
      </c>
      <c r="W24" s="1833">
        <f>V24*(0.1*100)/(5*3.12)</f>
        <v>7.6923076923076916</v>
      </c>
      <c r="X24" s="2467">
        <f>($G$24-W24)*575/95</f>
        <v>-1.1639676113360282</v>
      </c>
      <c r="Y24" s="1738" t="s">
        <v>8</v>
      </c>
      <c r="Z24" s="1866">
        <f>IF(X24&lt;0,0,X24)</f>
        <v>0</v>
      </c>
      <c r="AA24" s="2492"/>
      <c r="AB24" s="1759" t="s">
        <v>10</v>
      </c>
      <c r="AC24" s="2517">
        <f>XM.HN!E21</f>
        <v>12.3</v>
      </c>
      <c r="AD24" s="1833">
        <f>AC24*(0.1*100)/(5*3.12)</f>
        <v>7.8846153846153841</v>
      </c>
      <c r="AE24" s="2467">
        <f>($G$24-AD24)*575/95</f>
        <v>-2.3279352226720618</v>
      </c>
      <c r="AF24" s="1738" t="s">
        <v>8</v>
      </c>
      <c r="AG24" s="2174">
        <f>IF(AE24&lt;0,0,AE24)</f>
        <v>0</v>
      </c>
      <c r="AH24" s="2492"/>
      <c r="AI24" s="1759" t="s">
        <v>10</v>
      </c>
      <c r="AJ24" s="2517">
        <f>XM.HN!F21</f>
        <v>0</v>
      </c>
      <c r="AK24" s="1833" t="s">
        <v>1693</v>
      </c>
      <c r="AL24" s="2467" t="e">
        <f>($G$24-AK24)*575/95</f>
        <v>#VALUE!</v>
      </c>
      <c r="AM24" s="1738" t="s">
        <v>8</v>
      </c>
      <c r="AN24" s="2174"/>
      <c r="AO24" s="2492"/>
      <c r="AP24" s="1759" t="s">
        <v>10</v>
      </c>
      <c r="AQ24" s="2517">
        <f>XM.HN!G21</f>
        <v>0</v>
      </c>
      <c r="AR24" s="1833" t="s">
        <v>1693</v>
      </c>
      <c r="AS24" s="1727" t="e">
        <f>($G$24-AR24)*575/95</f>
        <v>#VALUE!</v>
      </c>
      <c r="AT24" s="1728" t="s">
        <v>8</v>
      </c>
      <c r="AU24" s="2174"/>
      <c r="AV24" s="1729"/>
      <c r="AW24" s="1730" t="s">
        <v>10</v>
      </c>
      <c r="AY24" s="2068"/>
      <c r="AZ24" s="1867">
        <v>0</v>
      </c>
      <c r="BA24" s="264">
        <v>45.39473684210526</v>
      </c>
      <c r="BB24" s="264" t="s">
        <v>8</v>
      </c>
      <c r="BC24" s="264">
        <v>45.39473684210526</v>
      </c>
      <c r="BE24" s="264" t="s">
        <v>10</v>
      </c>
    </row>
    <row r="25" spans="1:59" ht="32.25" customHeight="1">
      <c r="A25" s="44" t="s">
        <v>249</v>
      </c>
      <c r="B25" s="993" t="s">
        <v>214</v>
      </c>
      <c r="C25" s="996" t="s">
        <v>5</v>
      </c>
      <c r="D25" s="44" t="s">
        <v>5</v>
      </c>
      <c r="E25" s="13" t="str">
        <f>'XM.GUI MAIL'!E25</f>
        <v>2.0~2.4</v>
      </c>
      <c r="F25" s="1886" t="str">
        <f>'XM.GUI MAIL'!F25</f>
        <v>(2.2±0.1)</v>
      </c>
      <c r="G25" s="1335"/>
      <c r="H25" s="86"/>
      <c r="I25" s="2176">
        <f>XM.HN!B22</f>
        <v>0</v>
      </c>
      <c r="J25" s="2467"/>
      <c r="K25" s="1738"/>
      <c r="L25" s="1739"/>
      <c r="M25" s="2492"/>
      <c r="N25" s="1740"/>
      <c r="O25" s="2517"/>
      <c r="P25" s="2176">
        <f>XM.HN!C22</f>
        <v>2.2799999999999998</v>
      </c>
      <c r="Q25" s="2467"/>
      <c r="R25" s="1738"/>
      <c r="S25" s="1739"/>
      <c r="T25" s="2492"/>
      <c r="U25" s="1740"/>
      <c r="V25" s="2517"/>
      <c r="W25" s="2176">
        <f>XM.HN!D22</f>
        <v>2.2599999999999998</v>
      </c>
      <c r="X25" s="2467"/>
      <c r="Y25" s="1738"/>
      <c r="Z25" s="1739"/>
      <c r="AA25" s="2492"/>
      <c r="AB25" s="1740"/>
      <c r="AC25" s="2517"/>
      <c r="AD25" s="2176">
        <f>XM.HN!E22</f>
        <v>2.4</v>
      </c>
      <c r="AE25" s="2467"/>
      <c r="AF25" s="1738"/>
      <c r="AG25" s="1739"/>
      <c r="AH25" s="2492"/>
      <c r="AI25" s="1740"/>
      <c r="AJ25" s="2517"/>
      <c r="AK25" s="1833" t="s">
        <v>1693</v>
      </c>
      <c r="AL25" s="2467"/>
      <c r="AM25" s="1738"/>
      <c r="AN25" s="1739"/>
      <c r="AO25" s="2492"/>
      <c r="AP25" s="1740"/>
      <c r="AQ25" s="2517"/>
      <c r="AR25" s="1833" t="s">
        <v>1693</v>
      </c>
      <c r="AS25" s="1762"/>
      <c r="AT25" s="1728"/>
      <c r="AU25" s="1729"/>
      <c r="AV25" s="1729"/>
      <c r="AW25" s="1771"/>
      <c r="AY25" s="2068"/>
      <c r="AZ25" s="1868">
        <v>0</v>
      </c>
    </row>
    <row r="26" spans="1:59" s="205" customFormat="1" ht="54" customHeight="1">
      <c r="A26" s="284" t="s">
        <v>72</v>
      </c>
      <c r="B26" s="285"/>
      <c r="C26" s="285"/>
      <c r="D26" s="285"/>
      <c r="E26" s="295"/>
      <c r="F26" s="282"/>
      <c r="G26" s="295"/>
      <c r="H26" s="285"/>
      <c r="I26" s="285"/>
      <c r="J26" s="2468"/>
      <c r="K26" s="1399"/>
      <c r="L26" s="1399"/>
      <c r="M26" s="2468"/>
      <c r="N26" s="1399"/>
      <c r="O26" s="2468"/>
      <c r="P26" s="286"/>
      <c r="Q26" s="2468"/>
      <c r="R26" s="1399"/>
      <c r="S26" s="1399"/>
      <c r="T26" s="2505"/>
      <c r="U26" s="286"/>
      <c r="V26" s="2468"/>
      <c r="W26" s="286"/>
      <c r="X26" s="2468"/>
      <c r="Y26" s="1399"/>
      <c r="Z26" s="1399"/>
      <c r="AA26" s="2468"/>
      <c r="AB26" s="1399"/>
      <c r="AC26" s="2468"/>
      <c r="AD26" s="1399"/>
      <c r="AE26" s="2468"/>
      <c r="AF26" s="1399"/>
      <c r="AG26" s="1399"/>
      <c r="AH26" s="2468"/>
      <c r="AI26" s="1399"/>
      <c r="AJ26" s="2569"/>
      <c r="AK26" s="286"/>
      <c r="AL26" s="2569"/>
      <c r="AM26" s="286"/>
      <c r="AN26" s="286"/>
      <c r="AO26" s="2569"/>
      <c r="AP26" s="286"/>
      <c r="AQ26" s="2569"/>
      <c r="AR26" s="286"/>
      <c r="AS26" s="286"/>
      <c r="AT26" s="286"/>
      <c r="AU26" s="286"/>
      <c r="AV26" s="286"/>
      <c r="AW26" s="1002"/>
      <c r="AX26" s="2075"/>
      <c r="AY26" s="2075"/>
      <c r="AZ26" s="88"/>
      <c r="BA26" s="88"/>
      <c r="BB26" s="88"/>
    </row>
    <row r="27" spans="1:59" s="88" customFormat="1" ht="54" customHeight="1">
      <c r="A27" s="999" t="s">
        <v>236</v>
      </c>
      <c r="B27" s="992" t="s">
        <v>315</v>
      </c>
      <c r="C27" s="277" t="s">
        <v>60</v>
      </c>
      <c r="D27" s="277" t="s">
        <v>62</v>
      </c>
      <c r="E27" s="1382" t="s">
        <v>1290</v>
      </c>
      <c r="F27" s="1888" t="s">
        <v>1289</v>
      </c>
      <c r="G27" s="1120"/>
      <c r="H27" s="89"/>
      <c r="I27" s="1720" t="s">
        <v>45</v>
      </c>
      <c r="J27" s="2469"/>
      <c r="K27" s="1721"/>
      <c r="L27" s="1721" t="s">
        <v>61</v>
      </c>
      <c r="M27" s="2469"/>
      <c r="N27" s="1722"/>
      <c r="O27" s="2520"/>
      <c r="P27" s="1720" t="s">
        <v>45</v>
      </c>
      <c r="Q27" s="2469"/>
      <c r="R27" s="1721"/>
      <c r="S27" s="1721" t="s">
        <v>61</v>
      </c>
      <c r="T27" s="2469"/>
      <c r="U27" s="1722"/>
      <c r="V27" s="2544"/>
      <c r="W27" s="1720" t="s">
        <v>45</v>
      </c>
      <c r="X27" s="2469"/>
      <c r="Y27" s="1721"/>
      <c r="Z27" s="1721" t="s">
        <v>61</v>
      </c>
      <c r="AA27" s="2469"/>
      <c r="AB27" s="1722"/>
      <c r="AC27" s="2556"/>
      <c r="AD27" s="1720" t="s">
        <v>45</v>
      </c>
      <c r="AE27" s="2469"/>
      <c r="AF27" s="1721"/>
      <c r="AG27" s="1721" t="s">
        <v>61</v>
      </c>
      <c r="AH27" s="2469"/>
      <c r="AI27" s="1722"/>
      <c r="AJ27" s="2556"/>
      <c r="AK27" s="1720" t="s">
        <v>45</v>
      </c>
      <c r="AL27" s="2469"/>
      <c r="AM27" s="1721"/>
      <c r="AN27" s="1721" t="s">
        <v>61</v>
      </c>
      <c r="AO27" s="2469"/>
      <c r="AP27" s="1722"/>
      <c r="AQ27" s="2556"/>
      <c r="AR27" s="1720" t="s">
        <v>45</v>
      </c>
      <c r="AS27" s="1721"/>
      <c r="AT27" s="1721"/>
      <c r="AU27" s="1721" t="s">
        <v>61</v>
      </c>
      <c r="AV27" s="1721"/>
      <c r="AW27" s="1722"/>
      <c r="AX27" s="2075"/>
      <c r="AY27" s="2075"/>
      <c r="AZ27" s="88" t="s">
        <v>45</v>
      </c>
      <c r="BC27" s="88" t="s">
        <v>61</v>
      </c>
    </row>
    <row r="28" spans="1:59" s="88" customFormat="1" ht="34.5" customHeight="1">
      <c r="A28" s="993" t="s">
        <v>251</v>
      </c>
      <c r="B28" s="993" t="s">
        <v>214</v>
      </c>
      <c r="C28" s="989" t="s">
        <v>64</v>
      </c>
      <c r="D28" s="21" t="s">
        <v>104</v>
      </c>
      <c r="E28" s="1330" t="str">
        <f>'XM.GUI MAIL'!E28</f>
        <v>50~70</v>
      </c>
      <c r="F28" s="1889" t="str">
        <f>'XM.GUI MAIL'!F28</f>
        <v>(60±5)</v>
      </c>
      <c r="G28" s="1336"/>
      <c r="H28" s="92"/>
      <c r="I28" s="3095"/>
      <c r="J28" s="3086"/>
      <c r="K28" s="3086"/>
      <c r="L28" s="3086"/>
      <c r="M28" s="3086"/>
      <c r="N28" s="3097"/>
      <c r="O28" s="2521"/>
      <c r="P28" s="3095">
        <v>62</v>
      </c>
      <c r="Q28" s="3086"/>
      <c r="R28" s="3086"/>
      <c r="S28" s="3086">
        <v>63</v>
      </c>
      <c r="T28" s="3086"/>
      <c r="U28" s="3097"/>
      <c r="V28" s="2544"/>
      <c r="W28" s="3095">
        <v>62</v>
      </c>
      <c r="X28" s="3086"/>
      <c r="Y28" s="3086"/>
      <c r="Z28" s="3086">
        <v>62</v>
      </c>
      <c r="AA28" s="3086"/>
      <c r="AB28" s="3097"/>
      <c r="AC28" s="2556"/>
      <c r="AD28" s="3095">
        <v>63</v>
      </c>
      <c r="AE28" s="3086"/>
      <c r="AF28" s="3086"/>
      <c r="AG28" s="3086">
        <v>62</v>
      </c>
      <c r="AH28" s="3086"/>
      <c r="AI28" s="3097"/>
      <c r="AJ28" s="2556"/>
      <c r="AK28" s="3095">
        <v>62</v>
      </c>
      <c r="AL28" s="3086"/>
      <c r="AM28" s="3086"/>
      <c r="AN28" s="3086">
        <v>61</v>
      </c>
      <c r="AO28" s="3086"/>
      <c r="AP28" s="3097"/>
      <c r="AQ28" s="2556"/>
      <c r="AR28" s="3095">
        <v>63</v>
      </c>
      <c r="AS28" s="3086"/>
      <c r="AT28" s="3086"/>
      <c r="AU28" s="3086">
        <v>62</v>
      </c>
      <c r="AV28" s="3086"/>
      <c r="AW28" s="3087"/>
      <c r="AX28" s="2075"/>
      <c r="AY28" s="2075"/>
    </row>
    <row r="29" spans="1:59" s="88" customFormat="1" ht="34.5" customHeight="1">
      <c r="A29" s="993" t="s">
        <v>252</v>
      </c>
      <c r="B29" s="993" t="s">
        <v>214</v>
      </c>
      <c r="C29" s="989" t="s">
        <v>65</v>
      </c>
      <c r="D29" s="21" t="s">
        <v>104</v>
      </c>
      <c r="E29" s="1330" t="str">
        <f>'XM.GUI MAIL'!E29</f>
        <v>50~70</v>
      </c>
      <c r="F29" s="1889" t="str">
        <f>'XM.GUI MAIL'!F29</f>
        <v>(60±5)</v>
      </c>
      <c r="G29" s="1336"/>
      <c r="H29" s="92"/>
      <c r="I29" s="3095"/>
      <c r="J29" s="3086"/>
      <c r="K29" s="3086"/>
      <c r="L29" s="3086"/>
      <c r="M29" s="3086"/>
      <c r="N29" s="3097"/>
      <c r="O29" s="2521"/>
      <c r="P29" s="3095">
        <v>60</v>
      </c>
      <c r="Q29" s="3086"/>
      <c r="R29" s="3086"/>
      <c r="S29" s="3086">
        <v>60</v>
      </c>
      <c r="T29" s="3086"/>
      <c r="U29" s="3097"/>
      <c r="V29" s="2544"/>
      <c r="W29" s="3095">
        <v>60</v>
      </c>
      <c r="X29" s="3086"/>
      <c r="Y29" s="3086"/>
      <c r="Z29" s="3086">
        <v>60</v>
      </c>
      <c r="AA29" s="3086"/>
      <c r="AB29" s="3097"/>
      <c r="AC29" s="2556"/>
      <c r="AD29" s="3095">
        <v>61</v>
      </c>
      <c r="AE29" s="3086"/>
      <c r="AF29" s="3086"/>
      <c r="AG29" s="3086">
        <v>60</v>
      </c>
      <c r="AH29" s="3086"/>
      <c r="AI29" s="3097"/>
      <c r="AJ29" s="2556"/>
      <c r="AK29" s="3095">
        <v>61</v>
      </c>
      <c r="AL29" s="3086"/>
      <c r="AM29" s="3086"/>
      <c r="AN29" s="3086">
        <v>60</v>
      </c>
      <c r="AO29" s="3086"/>
      <c r="AP29" s="3097"/>
      <c r="AQ29" s="2556"/>
      <c r="AR29" s="3095">
        <v>60</v>
      </c>
      <c r="AS29" s="3086"/>
      <c r="AT29" s="3086"/>
      <c r="AU29" s="3086">
        <v>59</v>
      </c>
      <c r="AV29" s="3086"/>
      <c r="AW29" s="3087"/>
      <c r="AX29" s="2075"/>
      <c r="AY29" s="2075"/>
    </row>
    <row r="30" spans="1:59" s="88" customFormat="1" ht="34.5" customHeight="1">
      <c r="A30" s="993" t="s">
        <v>253</v>
      </c>
      <c r="B30" s="993" t="s">
        <v>214</v>
      </c>
      <c r="C30" s="989" t="s">
        <v>67</v>
      </c>
      <c r="D30" s="21" t="s">
        <v>104</v>
      </c>
      <c r="E30" s="1330" t="str">
        <f>'XM.GUI MAIL'!E30</f>
        <v>40~60</v>
      </c>
      <c r="F30" s="1889" t="str">
        <f>'XM.GUI MAIL'!F30</f>
        <v>(50±5)</v>
      </c>
      <c r="G30" s="1336"/>
      <c r="H30" s="92"/>
      <c r="I30" s="3095"/>
      <c r="J30" s="3086"/>
      <c r="K30" s="3097"/>
      <c r="L30" s="3086"/>
      <c r="M30" s="3086"/>
      <c r="N30" s="3087"/>
      <c r="O30" s="2520"/>
      <c r="P30" s="3095">
        <v>53</v>
      </c>
      <c r="Q30" s="3086"/>
      <c r="R30" s="3097"/>
      <c r="S30" s="3086">
        <v>52</v>
      </c>
      <c r="T30" s="3086"/>
      <c r="U30" s="3087"/>
      <c r="V30" s="2544"/>
      <c r="W30" s="3095">
        <v>53</v>
      </c>
      <c r="X30" s="3086"/>
      <c r="Y30" s="3097"/>
      <c r="Z30" s="3086">
        <v>53</v>
      </c>
      <c r="AA30" s="3086"/>
      <c r="AB30" s="3087"/>
      <c r="AC30" s="2556"/>
      <c r="AD30" s="3095">
        <v>54</v>
      </c>
      <c r="AE30" s="3086"/>
      <c r="AF30" s="3097"/>
      <c r="AG30" s="3086">
        <v>53</v>
      </c>
      <c r="AH30" s="3086"/>
      <c r="AI30" s="3087"/>
      <c r="AJ30" s="2556"/>
      <c r="AK30" s="3095">
        <v>53</v>
      </c>
      <c r="AL30" s="3086"/>
      <c r="AM30" s="3097"/>
      <c r="AN30" s="3086">
        <v>52</v>
      </c>
      <c r="AO30" s="3086"/>
      <c r="AP30" s="3087"/>
      <c r="AQ30" s="2556"/>
      <c r="AR30" s="3095">
        <v>53</v>
      </c>
      <c r="AS30" s="3086"/>
      <c r="AT30" s="3097"/>
      <c r="AU30" s="3086">
        <v>52</v>
      </c>
      <c r="AV30" s="3086"/>
      <c r="AW30" s="3087"/>
      <c r="AX30" s="2075"/>
      <c r="AY30" s="2075"/>
    </row>
    <row r="31" spans="1:59" s="88" customFormat="1" ht="34.5" customHeight="1">
      <c r="A31" s="993" t="s">
        <v>254</v>
      </c>
      <c r="B31" s="993" t="s">
        <v>214</v>
      </c>
      <c r="C31" s="989" t="s">
        <v>66</v>
      </c>
      <c r="D31" s="21" t="s">
        <v>104</v>
      </c>
      <c r="E31" s="1330" t="str">
        <f>'XM.GUI MAIL'!E31</f>
        <v>40~60</v>
      </c>
      <c r="F31" s="1889" t="str">
        <f>'XM.GUI MAIL'!F31</f>
        <v>(50±5)</v>
      </c>
      <c r="G31" s="1336"/>
      <c r="H31" s="92"/>
      <c r="I31" s="3095"/>
      <c r="J31" s="3086"/>
      <c r="K31" s="3097"/>
      <c r="L31" s="3086"/>
      <c r="M31" s="3086"/>
      <c r="N31" s="3087"/>
      <c r="O31" s="2520"/>
      <c r="P31" s="3095">
        <v>55</v>
      </c>
      <c r="Q31" s="3086"/>
      <c r="R31" s="3097"/>
      <c r="S31" s="3086">
        <v>54</v>
      </c>
      <c r="T31" s="3086"/>
      <c r="U31" s="3087"/>
      <c r="V31" s="2544"/>
      <c r="W31" s="3095">
        <v>54</v>
      </c>
      <c r="X31" s="3086"/>
      <c r="Y31" s="3097"/>
      <c r="Z31" s="3086">
        <v>54</v>
      </c>
      <c r="AA31" s="3086"/>
      <c r="AB31" s="3087"/>
      <c r="AC31" s="2556"/>
      <c r="AD31" s="3095">
        <v>50</v>
      </c>
      <c r="AE31" s="3086"/>
      <c r="AF31" s="3097"/>
      <c r="AG31" s="3086">
        <v>49</v>
      </c>
      <c r="AH31" s="3086"/>
      <c r="AI31" s="3087"/>
      <c r="AJ31" s="2556"/>
      <c r="AK31" s="3095">
        <v>48</v>
      </c>
      <c r="AL31" s="3086"/>
      <c r="AM31" s="3097"/>
      <c r="AN31" s="3086">
        <v>47</v>
      </c>
      <c r="AO31" s="3086"/>
      <c r="AP31" s="3087"/>
      <c r="AQ31" s="2556"/>
      <c r="AR31" s="3095">
        <v>49</v>
      </c>
      <c r="AS31" s="3086"/>
      <c r="AT31" s="3097"/>
      <c r="AU31" s="3086">
        <v>48</v>
      </c>
      <c r="AV31" s="3086"/>
      <c r="AW31" s="3087"/>
      <c r="AX31" s="2075"/>
      <c r="AY31" s="2075"/>
    </row>
    <row r="32" spans="1:59" s="88" customFormat="1" ht="34.5" customHeight="1">
      <c r="A32" s="993" t="s">
        <v>312</v>
      </c>
      <c r="B32" s="993" t="s">
        <v>214</v>
      </c>
      <c r="C32" s="989" t="s">
        <v>68</v>
      </c>
      <c r="D32" s="21" t="s">
        <v>104</v>
      </c>
      <c r="E32" s="1330" t="str">
        <f>'XM.GUI MAIL'!E32</f>
        <v>20~35</v>
      </c>
      <c r="F32" s="1889" t="str">
        <f>'XM.GUI MAIL'!F32</f>
        <v>(30±4)</v>
      </c>
      <c r="G32" s="1336"/>
      <c r="H32" s="92"/>
      <c r="I32" s="3095"/>
      <c r="J32" s="3086"/>
      <c r="K32" s="3086"/>
      <c r="L32" s="3086"/>
      <c r="M32" s="3086"/>
      <c r="N32" s="3097"/>
      <c r="O32" s="2521"/>
      <c r="P32" s="3095">
        <v>28</v>
      </c>
      <c r="Q32" s="3086"/>
      <c r="R32" s="3086"/>
      <c r="S32" s="3086">
        <v>27</v>
      </c>
      <c r="T32" s="3086"/>
      <c r="U32" s="3097"/>
      <c r="V32" s="2544"/>
      <c r="W32" s="3095">
        <v>26</v>
      </c>
      <c r="X32" s="3086"/>
      <c r="Y32" s="3086"/>
      <c r="Z32" s="3086">
        <v>26</v>
      </c>
      <c r="AA32" s="3086"/>
      <c r="AB32" s="3097"/>
      <c r="AC32" s="2556"/>
      <c r="AD32" s="3095">
        <v>31</v>
      </c>
      <c r="AE32" s="3086"/>
      <c r="AF32" s="3086"/>
      <c r="AG32" s="3086">
        <v>31</v>
      </c>
      <c r="AH32" s="3086"/>
      <c r="AI32" s="3097"/>
      <c r="AJ32" s="2556"/>
      <c r="AK32" s="3095">
        <v>30</v>
      </c>
      <c r="AL32" s="3086"/>
      <c r="AM32" s="3086"/>
      <c r="AN32" s="3086">
        <v>29</v>
      </c>
      <c r="AO32" s="3086"/>
      <c r="AP32" s="3097"/>
      <c r="AQ32" s="2556"/>
      <c r="AR32" s="3095">
        <v>29</v>
      </c>
      <c r="AS32" s="3086"/>
      <c r="AT32" s="3086"/>
      <c r="AU32" s="3086">
        <v>29</v>
      </c>
      <c r="AV32" s="3086"/>
      <c r="AW32" s="3087"/>
      <c r="AX32" s="2075"/>
      <c r="AY32" s="2075"/>
    </row>
    <row r="33" spans="1:57" s="88" customFormat="1" ht="34.5" customHeight="1">
      <c r="A33" s="274" t="s">
        <v>255</v>
      </c>
      <c r="B33" s="993" t="s">
        <v>214</v>
      </c>
      <c r="C33" s="989" t="s">
        <v>974</v>
      </c>
      <c r="D33" s="21" t="s">
        <v>104</v>
      </c>
      <c r="E33" s="1330" t="str">
        <f>'XM.GUI MAIL'!E33</f>
        <v>30~40</v>
      </c>
      <c r="F33" s="1889" t="str">
        <f>'XM.GUI MAIL'!F33</f>
        <v>(34±3)</v>
      </c>
      <c r="G33" s="1336"/>
      <c r="H33" s="92"/>
      <c r="I33" s="3095"/>
      <c r="J33" s="3086"/>
      <c r="K33" s="3097"/>
      <c r="L33" s="3086"/>
      <c r="M33" s="3086"/>
      <c r="N33" s="3087"/>
      <c r="O33" s="2521"/>
      <c r="P33" s="3095">
        <v>33</v>
      </c>
      <c r="Q33" s="3086"/>
      <c r="R33" s="3097"/>
      <c r="S33" s="3086">
        <v>32</v>
      </c>
      <c r="T33" s="3086"/>
      <c r="U33" s="3087"/>
      <c r="V33" s="2544"/>
      <c r="W33" s="3095">
        <v>37</v>
      </c>
      <c r="X33" s="3086"/>
      <c r="Y33" s="3097"/>
      <c r="Z33" s="3086">
        <v>37</v>
      </c>
      <c r="AA33" s="3086"/>
      <c r="AB33" s="3087"/>
      <c r="AC33" s="2556"/>
      <c r="AD33" s="3095">
        <v>37</v>
      </c>
      <c r="AE33" s="3086"/>
      <c r="AF33" s="3097"/>
      <c r="AG33" s="3086">
        <v>37</v>
      </c>
      <c r="AH33" s="3086"/>
      <c r="AI33" s="3087"/>
      <c r="AJ33" s="2556"/>
      <c r="AK33" s="3095">
        <v>37</v>
      </c>
      <c r="AL33" s="3086"/>
      <c r="AM33" s="3097"/>
      <c r="AN33" s="3086">
        <v>36</v>
      </c>
      <c r="AO33" s="3086"/>
      <c r="AP33" s="3087"/>
      <c r="AQ33" s="2556"/>
      <c r="AR33" s="3095">
        <v>38</v>
      </c>
      <c r="AS33" s="3086"/>
      <c r="AT33" s="3097"/>
      <c r="AU33" s="3086">
        <v>38</v>
      </c>
      <c r="AV33" s="3086"/>
      <c r="AW33" s="3087"/>
      <c r="AX33" s="2075"/>
      <c r="AY33" s="2075"/>
    </row>
    <row r="34" spans="1:57" s="88" customFormat="1" ht="34.5" customHeight="1">
      <c r="A34" s="274" t="s">
        <v>256</v>
      </c>
      <c r="B34" s="993" t="s">
        <v>214</v>
      </c>
      <c r="C34" s="989" t="s">
        <v>69</v>
      </c>
      <c r="D34" s="21" t="s">
        <v>104</v>
      </c>
      <c r="E34" s="1330" t="str">
        <f>'XM.GUI MAIL'!E34</f>
        <v>50~70</v>
      </c>
      <c r="F34" s="1889" t="str">
        <f>'XM.GUI MAIL'!F34</f>
        <v>(60±10)</v>
      </c>
      <c r="G34" s="1336"/>
      <c r="H34" s="92"/>
      <c r="I34" s="3095"/>
      <c r="J34" s="3086"/>
      <c r="K34" s="3097"/>
      <c r="L34" s="3086"/>
      <c r="M34" s="3086"/>
      <c r="N34" s="3087"/>
      <c r="O34" s="2521"/>
      <c r="P34" s="3095">
        <v>44</v>
      </c>
      <c r="Q34" s="3086"/>
      <c r="R34" s="3097"/>
      <c r="S34" s="3086">
        <v>43</v>
      </c>
      <c r="T34" s="3086"/>
      <c r="U34" s="3087"/>
      <c r="V34" s="2544"/>
      <c r="W34" s="3095">
        <v>61</v>
      </c>
      <c r="X34" s="3086"/>
      <c r="Y34" s="3097"/>
      <c r="Z34" s="3086">
        <v>61</v>
      </c>
      <c r="AA34" s="3086"/>
      <c r="AB34" s="3087"/>
      <c r="AC34" s="2556"/>
      <c r="AD34" s="3095">
        <v>57</v>
      </c>
      <c r="AE34" s="3086"/>
      <c r="AF34" s="3097"/>
      <c r="AG34" s="3086">
        <v>56</v>
      </c>
      <c r="AH34" s="3086"/>
      <c r="AI34" s="3087"/>
      <c r="AJ34" s="2556"/>
      <c r="AK34" s="3095">
        <v>54</v>
      </c>
      <c r="AL34" s="3086"/>
      <c r="AM34" s="3097"/>
      <c r="AN34" s="3086">
        <v>53</v>
      </c>
      <c r="AO34" s="3086"/>
      <c r="AP34" s="3087"/>
      <c r="AQ34" s="2556"/>
      <c r="AR34" s="3095">
        <v>56</v>
      </c>
      <c r="AS34" s="3086"/>
      <c r="AT34" s="3097"/>
      <c r="AU34" s="3086">
        <v>55</v>
      </c>
      <c r="AV34" s="3086"/>
      <c r="AW34" s="3087"/>
      <c r="AX34" s="2075"/>
      <c r="AY34" s="2075"/>
    </row>
    <row r="35" spans="1:57" s="88" customFormat="1" ht="34.5" customHeight="1">
      <c r="A35" s="44" t="s">
        <v>257</v>
      </c>
      <c r="B35" s="993" t="s">
        <v>214</v>
      </c>
      <c r="C35" s="989" t="s">
        <v>70</v>
      </c>
      <c r="D35" s="21" t="s">
        <v>104</v>
      </c>
      <c r="E35" s="1330" t="str">
        <f>'XM.GUI MAIL'!E35</f>
        <v>80~100</v>
      </c>
      <c r="F35" s="1889" t="str">
        <f>'XM.GUI MAIL'!F35</f>
        <v>(90±5)</v>
      </c>
      <c r="G35" s="1336"/>
      <c r="H35" s="92"/>
      <c r="I35" s="3092" t="s">
        <v>975</v>
      </c>
      <c r="J35" s="3093"/>
      <c r="K35" s="3094"/>
      <c r="L35" s="3086"/>
      <c r="M35" s="3086"/>
      <c r="N35" s="3087"/>
      <c r="O35" s="2522"/>
      <c r="P35" s="3092" t="s">
        <v>975</v>
      </c>
      <c r="Q35" s="3093"/>
      <c r="R35" s="3094"/>
      <c r="S35" s="3086" t="s">
        <v>1677</v>
      </c>
      <c r="T35" s="3086"/>
      <c r="U35" s="3087"/>
      <c r="V35" s="2544"/>
      <c r="W35" s="3092" t="s">
        <v>975</v>
      </c>
      <c r="X35" s="3093"/>
      <c r="Y35" s="3094"/>
      <c r="Z35" s="3086" t="s">
        <v>1677</v>
      </c>
      <c r="AA35" s="3086"/>
      <c r="AB35" s="3087"/>
      <c r="AC35" s="2556"/>
      <c r="AD35" s="3092" t="s">
        <v>975</v>
      </c>
      <c r="AE35" s="3093"/>
      <c r="AF35" s="3094"/>
      <c r="AG35" s="3086">
        <v>92</v>
      </c>
      <c r="AH35" s="3086"/>
      <c r="AI35" s="3087"/>
      <c r="AJ35" s="2556"/>
      <c r="AK35" s="3092" t="s">
        <v>975</v>
      </c>
      <c r="AL35" s="3093"/>
      <c r="AM35" s="3094"/>
      <c r="AN35" s="3086">
        <v>89</v>
      </c>
      <c r="AO35" s="3086"/>
      <c r="AP35" s="3087"/>
      <c r="AQ35" s="2556"/>
      <c r="AR35" s="3092" t="s">
        <v>975</v>
      </c>
      <c r="AS35" s="3093"/>
      <c r="AT35" s="3094"/>
      <c r="AU35" s="3086">
        <v>89</v>
      </c>
      <c r="AV35" s="3086"/>
      <c r="AW35" s="3087"/>
      <c r="AX35" s="2075"/>
      <c r="AY35" s="2075"/>
      <c r="AZ35" s="88" t="s">
        <v>46</v>
      </c>
    </row>
    <row r="36" spans="1:57" s="205" customFormat="1" ht="54" customHeight="1">
      <c r="A36" s="284" t="s">
        <v>74</v>
      </c>
      <c r="B36" s="285"/>
      <c r="C36" s="285"/>
      <c r="D36" s="285"/>
      <c r="E36" s="295"/>
      <c r="F36" s="282"/>
      <c r="G36" s="295"/>
      <c r="H36" s="285"/>
      <c r="I36" s="285"/>
      <c r="J36" s="2470"/>
      <c r="K36" s="285"/>
      <c r="L36" s="285"/>
      <c r="M36" s="2470"/>
      <c r="N36" s="285"/>
      <c r="O36" s="2470"/>
      <c r="P36" s="286"/>
      <c r="Q36" s="2470"/>
      <c r="R36" s="285"/>
      <c r="S36" s="285"/>
      <c r="T36" s="2505"/>
      <c r="U36" s="286"/>
      <c r="V36" s="2470"/>
      <c r="W36" s="286"/>
      <c r="X36" s="2470"/>
      <c r="Y36" s="285"/>
      <c r="Z36" s="285"/>
      <c r="AA36" s="2470"/>
      <c r="AB36" s="285"/>
      <c r="AC36" s="2470"/>
      <c r="AD36" s="285"/>
      <c r="AE36" s="2470"/>
      <c r="AF36" s="285"/>
      <c r="AG36" s="285"/>
      <c r="AH36" s="2470"/>
      <c r="AI36" s="285"/>
      <c r="AJ36" s="2569"/>
      <c r="AK36" s="286"/>
      <c r="AL36" s="2569"/>
      <c r="AM36" s="286"/>
      <c r="AN36" s="286"/>
      <c r="AO36" s="2569"/>
      <c r="AP36" s="286"/>
      <c r="AQ36" s="2569"/>
      <c r="AR36" s="286"/>
      <c r="AS36" s="286"/>
      <c r="AT36" s="286"/>
      <c r="AU36" s="286"/>
      <c r="AV36" s="286"/>
      <c r="AW36" s="1001"/>
      <c r="AX36" s="2075"/>
      <c r="AY36" s="2075"/>
      <c r="AZ36" s="88"/>
      <c r="BA36" s="88"/>
      <c r="BB36" s="88"/>
    </row>
    <row r="37" spans="1:57" s="88" customFormat="1" ht="45.75" customHeight="1">
      <c r="A37" s="274" t="s">
        <v>258</v>
      </c>
      <c r="B37" s="993" t="s">
        <v>214</v>
      </c>
      <c r="C37" s="995" t="s">
        <v>50</v>
      </c>
      <c r="D37" s="1056" t="s">
        <v>1641</v>
      </c>
      <c r="E37" s="962" t="str">
        <f>'XM.GUI MAIL'!E37</f>
        <v>300-360</v>
      </c>
      <c r="F37" s="1890" t="str">
        <f>'XM.GUI MAIL'!F37</f>
        <v>300-360</v>
      </c>
      <c r="G37" s="1337"/>
      <c r="H37" s="278"/>
      <c r="I37" s="3098"/>
      <c r="J37" s="3099"/>
      <c r="K37" s="3099"/>
      <c r="L37" s="3099"/>
      <c r="M37" s="3099"/>
      <c r="N37" s="3100"/>
      <c r="O37" s="2520"/>
      <c r="P37" s="3098"/>
      <c r="Q37" s="3099"/>
      <c r="R37" s="3099"/>
      <c r="S37" s="3099"/>
      <c r="T37" s="3099"/>
      <c r="U37" s="3100"/>
      <c r="V37" s="2075"/>
      <c r="W37" s="3098"/>
      <c r="X37" s="3099"/>
      <c r="Y37" s="3099"/>
      <c r="Z37" s="3099"/>
      <c r="AA37" s="3099"/>
      <c r="AB37" s="3100"/>
      <c r="AC37" s="2559"/>
      <c r="AD37" s="3098">
        <v>460</v>
      </c>
      <c r="AE37" s="3099"/>
      <c r="AF37" s="3099"/>
      <c r="AG37" s="3099"/>
      <c r="AH37" s="3099"/>
      <c r="AI37" s="3100"/>
      <c r="AJ37" s="2570"/>
      <c r="AK37" s="3098">
        <v>450</v>
      </c>
      <c r="AL37" s="3099"/>
      <c r="AM37" s="3099"/>
      <c r="AN37" s="3099"/>
      <c r="AO37" s="3099"/>
      <c r="AP37" s="3100"/>
      <c r="AQ37" s="2570"/>
      <c r="AR37" s="3098">
        <v>455</v>
      </c>
      <c r="AS37" s="3099"/>
      <c r="AT37" s="3099"/>
      <c r="AU37" s="3099"/>
      <c r="AV37" s="3099"/>
      <c r="AW37" s="3100"/>
      <c r="AX37" s="2075"/>
      <c r="AY37" s="2075"/>
    </row>
    <row r="38" spans="1:57" s="88" customFormat="1" ht="45.75" customHeight="1">
      <c r="A38" s="274" t="s">
        <v>259</v>
      </c>
      <c r="B38" s="993" t="s">
        <v>214</v>
      </c>
      <c r="C38" s="101" t="s">
        <v>51</v>
      </c>
      <c r="D38" s="1056" t="s">
        <v>1641</v>
      </c>
      <c r="E38" s="962" t="str">
        <f>'XM.GUI MAIL'!E38</f>
        <v>30-50</v>
      </c>
      <c r="F38" s="1891" t="str">
        <f>'XM.GUI MAIL'!F38</f>
        <v>30-50</v>
      </c>
      <c r="G38" s="13"/>
      <c r="H38" s="45"/>
      <c r="I38" s="3098"/>
      <c r="J38" s="3099"/>
      <c r="K38" s="3099"/>
      <c r="L38" s="3099"/>
      <c r="M38" s="3099"/>
      <c r="N38" s="3100"/>
      <c r="O38" s="2523"/>
      <c r="P38" s="3098"/>
      <c r="Q38" s="3099"/>
      <c r="R38" s="3099"/>
      <c r="S38" s="3099"/>
      <c r="T38" s="3099"/>
      <c r="U38" s="3100"/>
      <c r="V38" s="2545"/>
      <c r="W38" s="3098"/>
      <c r="X38" s="3099"/>
      <c r="Y38" s="3099"/>
      <c r="Z38" s="3099"/>
      <c r="AA38" s="3099"/>
      <c r="AB38" s="3100"/>
      <c r="AC38" s="2523"/>
      <c r="AD38" s="3098" t="s">
        <v>1686</v>
      </c>
      <c r="AE38" s="3099"/>
      <c r="AF38" s="3099"/>
      <c r="AG38" s="3099"/>
      <c r="AH38" s="3099"/>
      <c r="AI38" s="3100"/>
      <c r="AJ38" s="2571"/>
      <c r="AK38" s="3098" t="s">
        <v>1686</v>
      </c>
      <c r="AL38" s="3099"/>
      <c r="AM38" s="3099"/>
      <c r="AN38" s="3099"/>
      <c r="AO38" s="3099"/>
      <c r="AP38" s="3100"/>
      <c r="AQ38" s="2571"/>
      <c r="AR38" s="3098" t="s">
        <v>1686</v>
      </c>
      <c r="AS38" s="3099"/>
      <c r="AT38" s="3099"/>
      <c r="AU38" s="3099"/>
      <c r="AV38" s="3099"/>
      <c r="AW38" s="3100"/>
      <c r="AX38" s="2075"/>
      <c r="AY38" s="2075"/>
    </row>
    <row r="39" spans="1:57" ht="26.25" customHeight="1">
      <c r="A39" s="273"/>
      <c r="B39" s="273"/>
      <c r="C39" s="267"/>
      <c r="D39" s="267"/>
      <c r="E39" s="1331"/>
      <c r="F39" s="1612"/>
      <c r="G39" s="1331"/>
      <c r="H39" s="267"/>
      <c r="I39" s="267"/>
      <c r="J39" s="2471"/>
      <c r="K39" s="267"/>
      <c r="L39" s="267"/>
      <c r="M39" s="2493"/>
      <c r="N39" s="267"/>
      <c r="O39" s="2471"/>
      <c r="P39" s="267"/>
      <c r="Q39" s="2471"/>
      <c r="R39" s="267"/>
      <c r="S39" s="267"/>
      <c r="T39" s="2493"/>
      <c r="U39" s="267"/>
      <c r="V39" s="2471"/>
      <c r="W39" s="267"/>
      <c r="X39" s="2471"/>
      <c r="Y39" s="267"/>
      <c r="Z39" s="267"/>
      <c r="AA39" s="2493"/>
      <c r="AB39" s="267"/>
      <c r="AC39" s="2471"/>
      <c r="AD39" s="267"/>
      <c r="AE39" s="2471"/>
      <c r="AF39" s="267"/>
      <c r="AG39" s="267"/>
      <c r="AH39" s="2493"/>
      <c r="AI39" s="267"/>
      <c r="AP39" s="264"/>
      <c r="AW39" s="264"/>
    </row>
    <row r="40" spans="1:57" ht="41.25" customHeight="1">
      <c r="A40" s="1928" t="s">
        <v>211</v>
      </c>
      <c r="B40" s="1929"/>
      <c r="C40" s="1930"/>
      <c r="D40" s="1930"/>
      <c r="E40" s="1931"/>
      <c r="F40" s="1932" t="str">
        <f>MENU!$AC$9</f>
        <v>Thứ 5,</v>
      </c>
      <c r="G40" s="1933"/>
      <c r="H40" s="1934"/>
      <c r="I40" s="1935" t="str">
        <f>MENU!$AD$9</f>
        <v>2024/08/01</v>
      </c>
      <c r="J40" s="2457"/>
      <c r="K40" s="1934"/>
      <c r="L40" s="1936"/>
      <c r="M40" s="2485"/>
      <c r="N40" s="1936"/>
      <c r="O40" s="2485"/>
      <c r="P40" s="1936"/>
      <c r="Q40" s="2485"/>
      <c r="R40" s="1936"/>
      <c r="S40" s="1936"/>
      <c r="T40" s="2485"/>
      <c r="U40" s="1934"/>
      <c r="V40" s="2457"/>
      <c r="W40" s="1934"/>
      <c r="X40" s="2457"/>
      <c r="Y40" s="1934"/>
      <c r="Z40" s="1934"/>
      <c r="AA40" s="2457"/>
      <c r="AB40" s="1934"/>
      <c r="AC40" s="2457"/>
      <c r="AD40" s="1934"/>
      <c r="AE40" s="2457"/>
      <c r="AF40" s="1934"/>
      <c r="AG40" s="1934"/>
      <c r="AH40" s="2457"/>
      <c r="AI40" s="1934"/>
      <c r="AK40" s="1929" t="s">
        <v>211</v>
      </c>
      <c r="AL40" s="2576"/>
      <c r="AM40" s="1937"/>
      <c r="AN40" s="1937"/>
      <c r="AO40" s="2576"/>
      <c r="AP40" s="1937"/>
      <c r="AQ40" s="2576"/>
      <c r="AR40" s="1937"/>
      <c r="AS40" s="1937"/>
      <c r="AT40" s="1937"/>
      <c r="AU40" s="1937"/>
      <c r="AV40" s="1937"/>
      <c r="AW40" s="1938"/>
    </row>
    <row r="41" spans="1:57" ht="36.75" customHeight="1">
      <c r="A41" s="991"/>
      <c r="B41" s="991"/>
      <c r="C41" s="991"/>
      <c r="D41" s="991"/>
      <c r="E41" s="1376"/>
      <c r="F41" s="1892"/>
      <c r="G41" s="3110" t="s">
        <v>124</v>
      </c>
      <c r="H41" s="82"/>
      <c r="I41" s="268" t="s">
        <v>1454</v>
      </c>
      <c r="J41" s="2458"/>
      <c r="K41" s="268"/>
      <c r="L41" s="268"/>
      <c r="M41" s="2458"/>
      <c r="N41" s="268"/>
      <c r="O41" s="2509"/>
      <c r="P41" s="281" t="s">
        <v>1444</v>
      </c>
      <c r="Q41" s="2458"/>
      <c r="R41" s="268"/>
      <c r="S41" s="268"/>
      <c r="T41" s="2458"/>
      <c r="U41" s="269"/>
      <c r="V41" s="2458"/>
      <c r="W41" s="268" t="s">
        <v>1445</v>
      </c>
      <c r="X41" s="2458"/>
      <c r="Y41" s="268"/>
      <c r="Z41" s="268"/>
      <c r="AA41" s="2458"/>
      <c r="AB41" s="268"/>
      <c r="AC41" s="2509"/>
      <c r="AD41" s="281" t="s">
        <v>1446</v>
      </c>
      <c r="AE41" s="2458"/>
      <c r="AF41" s="268"/>
      <c r="AG41" s="268"/>
      <c r="AH41" s="2458"/>
      <c r="AI41" s="269"/>
      <c r="AJ41" s="2458"/>
      <c r="AK41" s="268" t="s">
        <v>1447</v>
      </c>
      <c r="AL41" s="2458"/>
      <c r="AM41" s="268"/>
      <c r="AN41" s="268"/>
      <c r="AO41" s="2458"/>
      <c r="AP41" s="268"/>
      <c r="AQ41" s="2458"/>
      <c r="AR41" s="281" t="s">
        <v>1448</v>
      </c>
      <c r="AS41" s="268"/>
      <c r="AT41" s="268"/>
      <c r="AU41" s="269"/>
      <c r="AV41" s="269"/>
      <c r="AW41" s="1000"/>
      <c r="AZ41" s="264" t="s">
        <v>1448</v>
      </c>
    </row>
    <row r="42" spans="1:57" ht="63.75" customHeight="1">
      <c r="A42" s="992" t="s">
        <v>236</v>
      </c>
      <c r="B42" s="992" t="s">
        <v>315</v>
      </c>
      <c r="C42" s="998" t="s">
        <v>314</v>
      </c>
      <c r="D42" s="992" t="s">
        <v>123</v>
      </c>
      <c r="E42" s="1382" t="s">
        <v>1290</v>
      </c>
      <c r="F42" s="1893" t="s">
        <v>1289</v>
      </c>
      <c r="G42" s="3111"/>
      <c r="H42" s="20"/>
      <c r="I42" s="1871" t="s">
        <v>128</v>
      </c>
      <c r="J42" s="2459" t="s">
        <v>1</v>
      </c>
      <c r="K42" s="282" t="s">
        <v>1</v>
      </c>
      <c r="L42" s="282"/>
      <c r="M42" s="2470"/>
      <c r="N42" s="283"/>
      <c r="O42" s="2510"/>
      <c r="P42" s="1871" t="s">
        <v>128</v>
      </c>
      <c r="Q42" s="2459" t="s">
        <v>1</v>
      </c>
      <c r="R42" s="282" t="s">
        <v>1</v>
      </c>
      <c r="S42" s="282"/>
      <c r="T42" s="2470"/>
      <c r="U42" s="283"/>
      <c r="V42" s="2542"/>
      <c r="W42" s="1871" t="s">
        <v>128</v>
      </c>
      <c r="X42" s="2459" t="s">
        <v>1</v>
      </c>
      <c r="Y42" s="282" t="s">
        <v>1</v>
      </c>
      <c r="Z42" s="282"/>
      <c r="AA42" s="2470"/>
      <c r="AB42" s="283"/>
      <c r="AC42" s="2510"/>
      <c r="AD42" s="1871" t="s">
        <v>128</v>
      </c>
      <c r="AE42" s="2459" t="s">
        <v>1</v>
      </c>
      <c r="AF42" s="282" t="s">
        <v>1</v>
      </c>
      <c r="AG42" s="282"/>
      <c r="AH42" s="2470"/>
      <c r="AI42" s="283"/>
      <c r="AJ42" s="2510"/>
      <c r="AK42" s="1871" t="s">
        <v>128</v>
      </c>
      <c r="AL42" s="2459" t="s">
        <v>1</v>
      </c>
      <c r="AM42" s="282" t="s">
        <v>1</v>
      </c>
      <c r="AN42" s="282"/>
      <c r="AO42" s="2470"/>
      <c r="AP42" s="283"/>
      <c r="AQ42" s="2510"/>
      <c r="AR42" s="1871" t="s">
        <v>128</v>
      </c>
      <c r="AS42" s="1870" t="s">
        <v>1</v>
      </c>
      <c r="AT42" s="282" t="s">
        <v>1</v>
      </c>
      <c r="AU42" s="282"/>
      <c r="AV42" s="282"/>
      <c r="AW42" s="283"/>
      <c r="AZ42" s="2067" t="s">
        <v>128</v>
      </c>
      <c r="BA42" s="264" t="s">
        <v>1</v>
      </c>
      <c r="BB42" s="264" t="s">
        <v>1</v>
      </c>
    </row>
    <row r="43" spans="1:57" ht="34.5" customHeight="1">
      <c r="A43" s="1828" t="s">
        <v>260</v>
      </c>
      <c r="B43" s="1828" t="s">
        <v>213</v>
      </c>
      <c r="C43" s="1865" t="s">
        <v>1470</v>
      </c>
      <c r="D43" s="1911" t="s">
        <v>4</v>
      </c>
      <c r="E43" s="1877" t="str">
        <f>'XM.GUI MAIL'!E43</f>
        <v>60~80</v>
      </c>
      <c r="F43" s="1894" t="str">
        <f>'XM.GUI MAIL'!F43</f>
        <v>(70±5)</v>
      </c>
      <c r="G43" s="1912">
        <f>'XM.GUI MAIL'!G43</f>
        <v>70</v>
      </c>
      <c r="H43" s="1832">
        <f>XM.HN!B26</f>
        <v>11</v>
      </c>
      <c r="I43" s="1922">
        <f>H43*6.49</f>
        <v>71.39</v>
      </c>
      <c r="J43" s="2472">
        <f>($G$43-I43)*2693/1000</f>
        <v>-3.7432700000000012</v>
      </c>
      <c r="K43" s="1835" t="s">
        <v>8</v>
      </c>
      <c r="L43" s="1914">
        <f>IF(J43&lt;0,0,J43)</f>
        <v>0</v>
      </c>
      <c r="M43" s="2494"/>
      <c r="N43" s="1915" t="s">
        <v>9</v>
      </c>
      <c r="O43" s="2524">
        <f>XM.HN!C26</f>
        <v>11.2</v>
      </c>
      <c r="P43" s="1922">
        <f>O43*6.49</f>
        <v>72.688000000000002</v>
      </c>
      <c r="Q43" s="2472">
        <f>($G$43-P43)*2693/1000</f>
        <v>-7.2387840000000061</v>
      </c>
      <c r="R43" s="1835" t="s">
        <v>8</v>
      </c>
      <c r="S43" s="1914">
        <f>IF(Q43&lt;0,0,Q43)</f>
        <v>0</v>
      </c>
      <c r="T43" s="2494"/>
      <c r="U43" s="1916" t="s">
        <v>9</v>
      </c>
      <c r="V43" s="2546">
        <f>XM.HN!D26</f>
        <v>11.15</v>
      </c>
      <c r="W43" s="1922">
        <f>V43*6.49</f>
        <v>72.363500000000002</v>
      </c>
      <c r="X43" s="2472">
        <f>($G$43-W43)*2693/1000</f>
        <v>-6.3649055000000052</v>
      </c>
      <c r="Y43" s="1835" t="s">
        <v>8</v>
      </c>
      <c r="Z43" s="1914">
        <f>IF(X43&lt;0,0,X43)</f>
        <v>0</v>
      </c>
      <c r="AA43" s="2494"/>
      <c r="AB43" s="1915" t="s">
        <v>9</v>
      </c>
      <c r="AC43" s="2524">
        <f>XM.HN!E26</f>
        <v>10.1</v>
      </c>
      <c r="AD43" s="1922">
        <v>71.8</v>
      </c>
      <c r="AE43" s="2472">
        <f>($G$43-AD43)*2693/1000</f>
        <v>-4.8473999999999924</v>
      </c>
      <c r="AF43" s="1835" t="s">
        <v>8</v>
      </c>
      <c r="AG43" s="1914">
        <f>IF(AE43&lt;0,0,AE43)</f>
        <v>0</v>
      </c>
      <c r="AH43" s="2494"/>
      <c r="AI43" s="1915" t="s">
        <v>9</v>
      </c>
      <c r="AJ43" s="2524">
        <f>XM.HN!F26</f>
        <v>10.199999999999999</v>
      </c>
      <c r="AK43" s="1922">
        <v>71</v>
      </c>
      <c r="AL43" s="2472">
        <f>($G$43-AK43)*2693/1000</f>
        <v>-2.6930000000000001</v>
      </c>
      <c r="AM43" s="1835" t="s">
        <v>8</v>
      </c>
      <c r="AN43" s="1914">
        <f>IF(AL43&lt;0,0,AL43)</f>
        <v>0</v>
      </c>
      <c r="AO43" s="2494"/>
      <c r="AP43" s="1915" t="s">
        <v>9</v>
      </c>
      <c r="AQ43" s="2524">
        <f>XM.HN!G26</f>
        <v>10.4</v>
      </c>
      <c r="AR43" s="1922">
        <v>70</v>
      </c>
      <c r="AS43" s="1913">
        <f>($G$43-AR43)*2693/1000</f>
        <v>0</v>
      </c>
      <c r="AT43" s="1835" t="s">
        <v>8</v>
      </c>
      <c r="AU43" s="1914">
        <f>IF(AS43&lt;0,0,AS43)</f>
        <v>0</v>
      </c>
      <c r="AV43" s="1914"/>
      <c r="AW43" s="1916" t="s">
        <v>9</v>
      </c>
      <c r="AZ43" s="1922">
        <v>71.39</v>
      </c>
      <c r="BA43" s="264">
        <v>-3.7432700000000012</v>
      </c>
      <c r="BB43" s="264" t="s">
        <v>8</v>
      </c>
      <c r="BC43" s="264">
        <v>0</v>
      </c>
      <c r="BE43" s="264" t="s">
        <v>9</v>
      </c>
    </row>
    <row r="44" spans="1:57" ht="34.5" customHeight="1">
      <c r="A44" s="1851"/>
      <c r="B44" s="1851"/>
      <c r="C44" s="1864" t="s">
        <v>230</v>
      </c>
      <c r="D44" s="1853"/>
      <c r="E44" s="1854" t="s">
        <v>1348</v>
      </c>
      <c r="F44" s="1895"/>
      <c r="G44" s="1917"/>
      <c r="H44" s="1856"/>
      <c r="I44" s="1875"/>
      <c r="J44" s="2473"/>
      <c r="K44" s="1858" t="s">
        <v>8</v>
      </c>
      <c r="L44" s="1862">
        <f>L43/25*7.5</f>
        <v>0</v>
      </c>
      <c r="M44" s="2495"/>
      <c r="N44" s="1920" t="s">
        <v>10</v>
      </c>
      <c r="O44" s="2525"/>
      <c r="P44" s="1875"/>
      <c r="Q44" s="2473"/>
      <c r="R44" s="1858" t="s">
        <v>8</v>
      </c>
      <c r="S44" s="1862">
        <f>S43/25*7.5</f>
        <v>0</v>
      </c>
      <c r="T44" s="2495"/>
      <c r="U44" s="1921" t="s">
        <v>10</v>
      </c>
      <c r="V44" s="2547"/>
      <c r="W44" s="1875"/>
      <c r="X44" s="2473"/>
      <c r="Y44" s="1858" t="s">
        <v>8</v>
      </c>
      <c r="Z44" s="1862">
        <f>Z43/25*7.5</f>
        <v>0</v>
      </c>
      <c r="AA44" s="2495"/>
      <c r="AB44" s="1920" t="s">
        <v>10</v>
      </c>
      <c r="AC44" s="2525"/>
      <c r="AD44" s="1875"/>
      <c r="AE44" s="2473"/>
      <c r="AF44" s="1858" t="s">
        <v>8</v>
      </c>
      <c r="AG44" s="1862">
        <f>AG43/25*7.5</f>
        <v>0</v>
      </c>
      <c r="AH44" s="2495"/>
      <c r="AI44" s="1920" t="s">
        <v>10</v>
      </c>
      <c r="AJ44" s="2525"/>
      <c r="AK44" s="1875"/>
      <c r="AL44" s="2473"/>
      <c r="AM44" s="1858" t="s">
        <v>8</v>
      </c>
      <c r="AN44" s="1862">
        <f>AN43/25*7.5</f>
        <v>0</v>
      </c>
      <c r="AO44" s="2495"/>
      <c r="AP44" s="1920"/>
      <c r="AQ44" s="2525"/>
      <c r="AR44" s="1875"/>
      <c r="AS44" s="1918"/>
      <c r="AT44" s="1858" t="s">
        <v>8</v>
      </c>
      <c r="AU44" s="1862">
        <f>AU43/25*7.5</f>
        <v>0</v>
      </c>
      <c r="AV44" s="1919"/>
      <c r="AW44" s="1921" t="s">
        <v>10</v>
      </c>
      <c r="AZ44" s="1875"/>
      <c r="BB44" s="264" t="s">
        <v>8</v>
      </c>
      <c r="BC44" s="264">
        <v>0</v>
      </c>
      <c r="BE44" s="264" t="s">
        <v>10</v>
      </c>
    </row>
    <row r="45" spans="1:57" ht="34.5" customHeight="1">
      <c r="A45" s="1828" t="s">
        <v>261</v>
      </c>
      <c r="B45" s="1828" t="s">
        <v>213</v>
      </c>
      <c r="C45" s="1865" t="s">
        <v>1471</v>
      </c>
      <c r="D45" s="1911" t="s">
        <v>4</v>
      </c>
      <c r="E45" s="1877" t="str">
        <f>'XM.GUI MAIL'!E45</f>
        <v>60~80</v>
      </c>
      <c r="F45" s="1894" t="str">
        <f>'XM.GUI MAIL'!F45</f>
        <v>(70±5)</v>
      </c>
      <c r="G45" s="1912">
        <f>'XM.GUI MAIL'!G45</f>
        <v>70</v>
      </c>
      <c r="H45" s="1832">
        <f>XM.HN!B28</f>
        <v>11.1</v>
      </c>
      <c r="I45" s="1922">
        <f>H45*6.49</f>
        <v>72.039000000000001</v>
      </c>
      <c r="J45" s="2472">
        <f>($G$45-I45)*3305/1000</f>
        <v>-6.7388950000000047</v>
      </c>
      <c r="K45" s="1835" t="s">
        <v>8</v>
      </c>
      <c r="L45" s="1914">
        <f>IF(J45&lt;0,0,J45)</f>
        <v>0</v>
      </c>
      <c r="M45" s="2494"/>
      <c r="N45" s="1915" t="s">
        <v>9</v>
      </c>
      <c r="O45" s="2524">
        <f>XM.HN!C28</f>
        <v>11.55</v>
      </c>
      <c r="P45" s="1922">
        <f>O45*6.49</f>
        <v>74.959500000000006</v>
      </c>
      <c r="Q45" s="2472">
        <f>($G$45-P45)*3305/1000</f>
        <v>-16.391147500000017</v>
      </c>
      <c r="R45" s="1835" t="s">
        <v>8</v>
      </c>
      <c r="S45" s="1914">
        <f>IF(Q45&lt;0,0,Q45)</f>
        <v>0</v>
      </c>
      <c r="T45" s="2494"/>
      <c r="U45" s="1916" t="s">
        <v>9</v>
      </c>
      <c r="V45" s="2546">
        <f>XM.HN!D28</f>
        <v>11.5</v>
      </c>
      <c r="W45" s="1922">
        <f>V45*6.49</f>
        <v>74.635000000000005</v>
      </c>
      <c r="X45" s="2472">
        <f>($G$45-W45)*3305/1000</f>
        <v>-15.318675000000017</v>
      </c>
      <c r="Y45" s="1835" t="s">
        <v>8</v>
      </c>
      <c r="Z45" s="1914">
        <f>IF(X45&lt;0,0,X45)</f>
        <v>0</v>
      </c>
      <c r="AA45" s="2494"/>
      <c r="AB45" s="1915" t="s">
        <v>9</v>
      </c>
      <c r="AC45" s="2524">
        <f>XM.HN!E28</f>
        <v>11.4</v>
      </c>
      <c r="AD45" s="1922">
        <f>AC45*6.49</f>
        <v>73.986000000000004</v>
      </c>
      <c r="AE45" s="2472">
        <f>($G$45-AD45)*3305/1000</f>
        <v>-13.173730000000013</v>
      </c>
      <c r="AF45" s="1835" t="s">
        <v>8</v>
      </c>
      <c r="AG45" s="1914">
        <f>IF(AE45&lt;0,0,AE45)</f>
        <v>0</v>
      </c>
      <c r="AH45" s="2494"/>
      <c r="AI45" s="1915" t="s">
        <v>9</v>
      </c>
      <c r="AJ45" s="2524">
        <f>XM.HN!F28</f>
        <v>11.5</v>
      </c>
      <c r="AK45" s="1922">
        <v>73.5</v>
      </c>
      <c r="AL45" s="2472">
        <f>($G$45-AK45)*3305/1000</f>
        <v>-11.567500000000001</v>
      </c>
      <c r="AM45" s="1835" t="s">
        <v>8</v>
      </c>
      <c r="AN45" s="1914">
        <f>IF(AL45&lt;0,0,AL45)</f>
        <v>0</v>
      </c>
      <c r="AO45" s="2494"/>
      <c r="AP45" s="1915" t="s">
        <v>9</v>
      </c>
      <c r="AQ45" s="2524">
        <f>XM.HN!G28</f>
        <v>11.5</v>
      </c>
      <c r="AR45" s="1922">
        <v>73</v>
      </c>
      <c r="AS45" s="1913">
        <f>($G$45-AR45)*3305/1000</f>
        <v>-9.9149999999999991</v>
      </c>
      <c r="AT45" s="1835" t="s">
        <v>8</v>
      </c>
      <c r="AU45" s="1914">
        <f>IF(AS45&lt;0,0,AS45)</f>
        <v>0</v>
      </c>
      <c r="AV45" s="1914"/>
      <c r="AW45" s="1916" t="s">
        <v>9</v>
      </c>
      <c r="AZ45" s="1922">
        <v>73.986000000000004</v>
      </c>
      <c r="BA45" s="264">
        <v>-13.173730000000013</v>
      </c>
      <c r="BB45" s="264" t="s">
        <v>8</v>
      </c>
      <c r="BC45" s="264">
        <v>0</v>
      </c>
      <c r="BE45" s="264" t="s">
        <v>9</v>
      </c>
    </row>
    <row r="46" spans="1:57" ht="34.5" customHeight="1">
      <c r="A46" s="1851"/>
      <c r="B46" s="1851"/>
      <c r="C46" s="1864" t="s">
        <v>230</v>
      </c>
      <c r="D46" s="1853"/>
      <c r="E46" s="1854" t="s">
        <v>1348</v>
      </c>
      <c r="F46" s="1895"/>
      <c r="G46" s="1917"/>
      <c r="H46" s="1856"/>
      <c r="I46" s="1875"/>
      <c r="J46" s="2473"/>
      <c r="K46" s="1858" t="s">
        <v>8</v>
      </c>
      <c r="L46" s="1862">
        <f>L45/25*7.5</f>
        <v>0</v>
      </c>
      <c r="M46" s="2495"/>
      <c r="N46" s="1920" t="s">
        <v>10</v>
      </c>
      <c r="O46" s="2525"/>
      <c r="P46" s="1875"/>
      <c r="Q46" s="2473"/>
      <c r="R46" s="1858" t="s">
        <v>8</v>
      </c>
      <c r="S46" s="1862">
        <f>S45/25*7.5</f>
        <v>0</v>
      </c>
      <c r="T46" s="2495"/>
      <c r="U46" s="1921" t="s">
        <v>10</v>
      </c>
      <c r="V46" s="2547"/>
      <c r="W46" s="1875"/>
      <c r="X46" s="2473"/>
      <c r="Y46" s="1858" t="s">
        <v>8</v>
      </c>
      <c r="Z46" s="1862">
        <f>Z45/25*7.5</f>
        <v>0</v>
      </c>
      <c r="AA46" s="2495"/>
      <c r="AB46" s="1920" t="s">
        <v>10</v>
      </c>
      <c r="AC46" s="2525"/>
      <c r="AD46" s="1875"/>
      <c r="AE46" s="2473"/>
      <c r="AF46" s="1858" t="s">
        <v>8</v>
      </c>
      <c r="AG46" s="1862">
        <f>AG45/25*7.5</f>
        <v>0</v>
      </c>
      <c r="AH46" s="2495"/>
      <c r="AI46" s="1920" t="s">
        <v>10</v>
      </c>
      <c r="AJ46" s="2525"/>
      <c r="AK46" s="1875"/>
      <c r="AL46" s="2473"/>
      <c r="AM46" s="1858" t="s">
        <v>8</v>
      </c>
      <c r="AN46" s="1862">
        <f>AN45/25*7.5</f>
        <v>0</v>
      </c>
      <c r="AO46" s="2495"/>
      <c r="AP46" s="1920"/>
      <c r="AQ46" s="2525"/>
      <c r="AR46" s="1875"/>
      <c r="AS46" s="1918"/>
      <c r="AT46" s="1858" t="s">
        <v>8</v>
      </c>
      <c r="AU46" s="1862">
        <f>AU45/25*7.5</f>
        <v>0</v>
      </c>
      <c r="AV46" s="1919"/>
      <c r="AW46" s="1921" t="s">
        <v>10</v>
      </c>
      <c r="AZ46" s="1875"/>
      <c r="BB46" s="264" t="s">
        <v>8</v>
      </c>
      <c r="BC46" s="264">
        <v>0</v>
      </c>
      <c r="BE46" s="264" t="s">
        <v>10</v>
      </c>
    </row>
    <row r="47" spans="1:57" ht="34.5" customHeight="1">
      <c r="A47" s="1828" t="s">
        <v>262</v>
      </c>
      <c r="B47" s="1828" t="s">
        <v>213</v>
      </c>
      <c r="C47" s="1865" t="s">
        <v>1472</v>
      </c>
      <c r="D47" s="1829" t="s">
        <v>4</v>
      </c>
      <c r="E47" s="1877" t="str">
        <f>'XM.GUI MAIL'!E47</f>
        <v>50~70</v>
      </c>
      <c r="F47" s="1894" t="str">
        <f>'XM.GUI MAIL'!F47</f>
        <v>(60±10)</v>
      </c>
      <c r="G47" s="1912">
        <f>'XM.GUI MAIL'!G47</f>
        <v>60</v>
      </c>
      <c r="H47" s="1832">
        <f>XM.HN!B30</f>
        <v>11.95</v>
      </c>
      <c r="I47" s="1922">
        <f>H47*4.62</f>
        <v>55.208999999999996</v>
      </c>
      <c r="J47" s="2474">
        <f>($G$47-I47)*1156/1000</f>
        <v>5.5383960000000041</v>
      </c>
      <c r="K47" s="1835" t="s">
        <v>8</v>
      </c>
      <c r="L47" s="1914">
        <f>IF(J47&lt;0,0,J47)</f>
        <v>5.5383960000000041</v>
      </c>
      <c r="M47" s="2494"/>
      <c r="N47" s="1915" t="s">
        <v>9</v>
      </c>
      <c r="O47" s="2526">
        <f>XM.HN!C30</f>
        <v>13</v>
      </c>
      <c r="P47" s="1922">
        <f>O47*4.62</f>
        <v>60.06</v>
      </c>
      <c r="Q47" s="2474">
        <f>($G$47-P47)*1156/1000</f>
        <v>-6.9360000000002628E-2</v>
      </c>
      <c r="R47" s="1835" t="s">
        <v>8</v>
      </c>
      <c r="S47" s="1914">
        <f>IF(Q47&lt;0,0,Q47)</f>
        <v>0</v>
      </c>
      <c r="T47" s="2494"/>
      <c r="U47" s="1916" t="s">
        <v>9</v>
      </c>
      <c r="V47" s="2548">
        <f>XM.HN!D30</f>
        <v>13.3</v>
      </c>
      <c r="W47" s="1922">
        <f>V47*4.62</f>
        <v>61.446000000000005</v>
      </c>
      <c r="X47" s="2474">
        <f>($G$47-W47)*1156/1000</f>
        <v>-1.6715760000000059</v>
      </c>
      <c r="Y47" s="1835" t="s">
        <v>8</v>
      </c>
      <c r="Z47" s="1914">
        <f>IF(X47&lt;0,0,X47)</f>
        <v>0</v>
      </c>
      <c r="AA47" s="2494"/>
      <c r="AB47" s="1915" t="s">
        <v>9</v>
      </c>
      <c r="AC47" s="2548">
        <f>XM.HN!E30</f>
        <v>13.5</v>
      </c>
      <c r="AD47" s="1922">
        <f>AC47*4.62</f>
        <v>62.370000000000005</v>
      </c>
      <c r="AE47" s="2474">
        <f>($G$47-AD47)*1156/1000</f>
        <v>-2.739720000000005</v>
      </c>
      <c r="AF47" s="1835" t="s">
        <v>8</v>
      </c>
      <c r="AG47" s="1914">
        <f>IF(AE47&lt;0,0,AE47)</f>
        <v>0</v>
      </c>
      <c r="AH47" s="2494"/>
      <c r="AI47" s="1915" t="s">
        <v>9</v>
      </c>
      <c r="AJ47" s="2548">
        <f>XM.HN!F30</f>
        <v>13.2</v>
      </c>
      <c r="AK47" s="1922">
        <f>AJ47*4.62</f>
        <v>60.983999999999995</v>
      </c>
      <c r="AL47" s="2474">
        <f>($G$47-AK47)*1156/1000</f>
        <v>-1.1375039999999939</v>
      </c>
      <c r="AM47" s="1835" t="s">
        <v>8</v>
      </c>
      <c r="AN47" s="1914">
        <f>IF(AL47&lt;0,0,AL47)</f>
        <v>0</v>
      </c>
      <c r="AO47" s="2494"/>
      <c r="AP47" s="1915" t="s">
        <v>9</v>
      </c>
      <c r="AQ47" s="2548">
        <f>XM.HN!G30</f>
        <v>12.9</v>
      </c>
      <c r="AR47" s="1922">
        <f>AQ47*4.62</f>
        <v>59.598000000000006</v>
      </c>
      <c r="AS47" s="1913">
        <f>($G$47-AR47)*1156/1000</f>
        <v>0.46471199999999296</v>
      </c>
      <c r="AT47" s="1835" t="s">
        <v>8</v>
      </c>
      <c r="AU47" s="1914">
        <f>IF(AS47&lt;0,0,AS47)</f>
        <v>0.46471199999999296</v>
      </c>
      <c r="AV47" s="1914"/>
      <c r="AW47" s="1916" t="s">
        <v>9</v>
      </c>
      <c r="AZ47" s="1922">
        <v>60.2</v>
      </c>
      <c r="BA47" s="264">
        <v>-0.23120000000000329</v>
      </c>
      <c r="BB47" s="264" t="s">
        <v>8</v>
      </c>
      <c r="BC47" s="264">
        <v>0</v>
      </c>
      <c r="BE47" s="264" t="s">
        <v>9</v>
      </c>
    </row>
    <row r="48" spans="1:57" ht="34.5" customHeight="1">
      <c r="A48" s="1851"/>
      <c r="B48" s="1851"/>
      <c r="C48" s="1864" t="s">
        <v>232</v>
      </c>
      <c r="D48" s="1853"/>
      <c r="E48" s="1854" t="s">
        <v>1473</v>
      </c>
      <c r="F48" s="1895"/>
      <c r="G48" s="1917"/>
      <c r="H48" s="1856"/>
      <c r="I48" s="1875"/>
      <c r="J48" s="2475"/>
      <c r="K48" s="1858" t="s">
        <v>8</v>
      </c>
      <c r="L48" s="1862">
        <f>L47/25*7</f>
        <v>1.5507508800000012</v>
      </c>
      <c r="M48" s="2495"/>
      <c r="N48" s="1920" t="s">
        <v>10</v>
      </c>
      <c r="O48" s="2527"/>
      <c r="P48" s="1875"/>
      <c r="Q48" s="2475"/>
      <c r="R48" s="1858" t="s">
        <v>8</v>
      </c>
      <c r="S48" s="1862">
        <f>S47/25*7</f>
        <v>0</v>
      </c>
      <c r="T48" s="2495"/>
      <c r="U48" s="1921" t="s">
        <v>10</v>
      </c>
      <c r="V48" s="2549"/>
      <c r="W48" s="1875"/>
      <c r="X48" s="2475"/>
      <c r="Y48" s="1858" t="s">
        <v>8</v>
      </c>
      <c r="Z48" s="1862">
        <f>Z47/25*7</f>
        <v>0</v>
      </c>
      <c r="AA48" s="2495"/>
      <c r="AB48" s="1920" t="s">
        <v>10</v>
      </c>
      <c r="AC48" s="2549"/>
      <c r="AD48" s="1875"/>
      <c r="AE48" s="2475"/>
      <c r="AF48" s="1858" t="s">
        <v>8</v>
      </c>
      <c r="AG48" s="1862">
        <f>AG47/25*7</f>
        <v>0</v>
      </c>
      <c r="AH48" s="2495"/>
      <c r="AI48" s="1920" t="s">
        <v>10</v>
      </c>
      <c r="AJ48" s="2549"/>
      <c r="AK48" s="1875"/>
      <c r="AL48" s="2475"/>
      <c r="AM48" s="1858" t="s">
        <v>8</v>
      </c>
      <c r="AN48" s="1862">
        <f>AN47/25*7</f>
        <v>0</v>
      </c>
      <c r="AO48" s="2495"/>
      <c r="AP48" s="1920"/>
      <c r="AQ48" s="2549"/>
      <c r="AR48" s="1875"/>
      <c r="AS48" s="1918"/>
      <c r="AT48" s="1858" t="s">
        <v>8</v>
      </c>
      <c r="AU48" s="1862">
        <f>AU47/25*7</f>
        <v>0.13011935999999805</v>
      </c>
      <c r="AV48" s="1919"/>
      <c r="AW48" s="1921" t="s">
        <v>10</v>
      </c>
      <c r="AZ48" s="1875"/>
      <c r="BB48" s="264" t="s">
        <v>8</v>
      </c>
      <c r="BC48" s="264">
        <v>0</v>
      </c>
      <c r="BE48" s="264" t="s">
        <v>10</v>
      </c>
    </row>
    <row r="49" spans="1:57" ht="34.5" customHeight="1">
      <c r="A49" s="1828" t="s">
        <v>263</v>
      </c>
      <c r="B49" s="1828" t="s">
        <v>213</v>
      </c>
      <c r="C49" s="1865" t="s">
        <v>1474</v>
      </c>
      <c r="D49" s="1829" t="s">
        <v>4</v>
      </c>
      <c r="E49" s="1877" t="str">
        <f>'XM.GUI MAIL'!E49</f>
        <v>50~70</v>
      </c>
      <c r="F49" s="1894" t="str">
        <f>'XM.GUI MAIL'!F49</f>
        <v>(60±10)</v>
      </c>
      <c r="G49" s="1912">
        <f>'XM.GUI MAIL'!G49</f>
        <v>60</v>
      </c>
      <c r="H49" s="1832">
        <f>XM.HN!B32</f>
        <v>12.7</v>
      </c>
      <c r="I49" s="1922">
        <f>H49*4.62</f>
        <v>58.673999999999999</v>
      </c>
      <c r="J49" s="2474">
        <f>($G$49-I49)*1459/1000</f>
        <v>1.9346340000000006</v>
      </c>
      <c r="K49" s="1835" t="s">
        <v>8</v>
      </c>
      <c r="L49" s="1914">
        <f>IF(J49&lt;0,0,J49)</f>
        <v>1.9346340000000006</v>
      </c>
      <c r="M49" s="2494"/>
      <c r="N49" s="1915" t="s">
        <v>9</v>
      </c>
      <c r="O49" s="2526">
        <f>XM.HN!C32</f>
        <v>13.55</v>
      </c>
      <c r="P49" s="1922">
        <f>O49*4.62</f>
        <v>62.601000000000006</v>
      </c>
      <c r="Q49" s="2474">
        <f>($G$49-P49)*1459/1000</f>
        <v>-3.7948590000000091</v>
      </c>
      <c r="R49" s="1835" t="s">
        <v>8</v>
      </c>
      <c r="S49" s="1914">
        <f>IF(Q49&lt;0,0,Q49)</f>
        <v>0</v>
      </c>
      <c r="T49" s="2494"/>
      <c r="U49" s="1916" t="s">
        <v>9</v>
      </c>
      <c r="V49" s="2548">
        <f>XM.HN!D32</f>
        <v>13.3</v>
      </c>
      <c r="W49" s="1922">
        <f>V49*4.62</f>
        <v>61.446000000000005</v>
      </c>
      <c r="X49" s="2474">
        <f>($G$49-W49)*1459/1000</f>
        <v>-2.1097140000000074</v>
      </c>
      <c r="Y49" s="1835" t="s">
        <v>8</v>
      </c>
      <c r="Z49" s="1914">
        <f>IF(X49&lt;0,0,X49)</f>
        <v>0</v>
      </c>
      <c r="AA49" s="2494"/>
      <c r="AB49" s="1915" t="s">
        <v>9</v>
      </c>
      <c r="AC49" s="2548">
        <f>XM.HN!E32</f>
        <v>12.5</v>
      </c>
      <c r="AD49" s="1922">
        <f>AC49*4.62</f>
        <v>57.75</v>
      </c>
      <c r="AE49" s="2474">
        <f>($G$49-AD49)*1459/1000</f>
        <v>3.2827500000000001</v>
      </c>
      <c r="AF49" s="1835" t="s">
        <v>8</v>
      </c>
      <c r="AG49" s="1914">
        <f>IF(AE49&lt;0,0,AE49)</f>
        <v>3.2827500000000001</v>
      </c>
      <c r="AH49" s="2494"/>
      <c r="AI49" s="1915" t="s">
        <v>9</v>
      </c>
      <c r="AJ49" s="2548">
        <f>XM.HN!F32</f>
        <v>14.2</v>
      </c>
      <c r="AK49" s="1922">
        <f>AJ49*4.62</f>
        <v>65.603999999999999</v>
      </c>
      <c r="AL49" s="2474">
        <f>($G$49-AK49)*1459/1000</f>
        <v>-8.1762359999999994</v>
      </c>
      <c r="AM49" s="1835" t="s">
        <v>8</v>
      </c>
      <c r="AN49" s="1914">
        <f>IF(AL49&lt;0,0,AL49)</f>
        <v>0</v>
      </c>
      <c r="AO49" s="2494"/>
      <c r="AP49" s="1915" t="s">
        <v>9</v>
      </c>
      <c r="AQ49" s="2548">
        <f>XM.HN!G32</f>
        <v>14.7</v>
      </c>
      <c r="AR49" s="1922">
        <v>65</v>
      </c>
      <c r="AS49" s="1913">
        <f>($G$49-AR49)*1459/1000</f>
        <v>-7.2949999999999999</v>
      </c>
      <c r="AT49" s="1835" t="s">
        <v>8</v>
      </c>
      <c r="AU49" s="1914">
        <f>IF(AS49&lt;0,0,AS49)</f>
        <v>0</v>
      </c>
      <c r="AV49" s="1914"/>
      <c r="AW49" s="1916" t="s">
        <v>9</v>
      </c>
      <c r="AZ49" s="1922">
        <v>61.1</v>
      </c>
      <c r="BA49" s="264">
        <v>-1.6049000000000022</v>
      </c>
      <c r="BB49" s="264" t="s">
        <v>8</v>
      </c>
      <c r="BC49" s="264">
        <v>0</v>
      </c>
      <c r="BE49" s="264" t="s">
        <v>9</v>
      </c>
    </row>
    <row r="50" spans="1:57" ht="34.5" customHeight="1">
      <c r="A50" s="1851"/>
      <c r="B50" s="1851"/>
      <c r="C50" s="1864" t="s">
        <v>232</v>
      </c>
      <c r="D50" s="1853"/>
      <c r="E50" s="1854" t="s">
        <v>1473</v>
      </c>
      <c r="F50" s="1895"/>
      <c r="G50" s="1912">
        <f>'XM.GUI MAIL'!G50</f>
        <v>0</v>
      </c>
      <c r="H50" s="1856"/>
      <c r="I50" s="1875"/>
      <c r="J50" s="2475"/>
      <c r="K50" s="1858" t="s">
        <v>8</v>
      </c>
      <c r="L50" s="1862">
        <f>L49/25*7</f>
        <v>0.54169752000000015</v>
      </c>
      <c r="M50" s="2495"/>
      <c r="N50" s="1920" t="s">
        <v>10</v>
      </c>
      <c r="O50" s="2527"/>
      <c r="P50" s="1875"/>
      <c r="Q50" s="2475"/>
      <c r="R50" s="1858" t="s">
        <v>8</v>
      </c>
      <c r="S50" s="1862">
        <f>S49/25*7</f>
        <v>0</v>
      </c>
      <c r="T50" s="2495"/>
      <c r="U50" s="1921" t="s">
        <v>10</v>
      </c>
      <c r="V50" s="2549"/>
      <c r="W50" s="1875"/>
      <c r="X50" s="2475"/>
      <c r="Y50" s="1858" t="s">
        <v>8</v>
      </c>
      <c r="Z50" s="1862">
        <f>Z49/25*7</f>
        <v>0</v>
      </c>
      <c r="AA50" s="2495"/>
      <c r="AB50" s="1920" t="s">
        <v>10</v>
      </c>
      <c r="AC50" s="2549"/>
      <c r="AD50" s="1875"/>
      <c r="AE50" s="2475"/>
      <c r="AF50" s="1858" t="s">
        <v>8</v>
      </c>
      <c r="AG50" s="1862">
        <f>AG49/25*7</f>
        <v>0.91917000000000004</v>
      </c>
      <c r="AH50" s="2495"/>
      <c r="AI50" s="1920" t="s">
        <v>10</v>
      </c>
      <c r="AJ50" s="2549"/>
      <c r="AK50" s="1875"/>
      <c r="AL50" s="2475"/>
      <c r="AM50" s="1858" t="s">
        <v>8</v>
      </c>
      <c r="AN50" s="1862">
        <f>AN49/25*7</f>
        <v>0</v>
      </c>
      <c r="AO50" s="2495"/>
      <c r="AP50" s="1920"/>
      <c r="AQ50" s="2549"/>
      <c r="AR50" s="1875"/>
      <c r="AS50" s="1918"/>
      <c r="AT50" s="1858" t="s">
        <v>8</v>
      </c>
      <c r="AU50" s="1862">
        <f>AU49/25*7</f>
        <v>0</v>
      </c>
      <c r="AV50" s="1919"/>
      <c r="AW50" s="1921" t="s">
        <v>10</v>
      </c>
      <c r="AZ50" s="1875"/>
      <c r="BB50" s="264" t="s">
        <v>8</v>
      </c>
      <c r="BC50" s="264">
        <v>0</v>
      </c>
      <c r="BE50" s="264" t="s">
        <v>10</v>
      </c>
    </row>
    <row r="51" spans="1:57" ht="34.5" customHeight="1">
      <c r="A51" s="993" t="s">
        <v>264</v>
      </c>
      <c r="B51" s="993" t="s">
        <v>213</v>
      </c>
      <c r="C51" s="994" t="s">
        <v>55</v>
      </c>
      <c r="D51" s="999" t="s">
        <v>4</v>
      </c>
      <c r="E51" s="13" t="str">
        <f>'XM.GUI MAIL'!E51</f>
        <v>130 - 150</v>
      </c>
      <c r="F51" s="1896" t="s">
        <v>1509</v>
      </c>
      <c r="G51" s="1912">
        <f>'XM.GUI MAIL'!G51</f>
        <v>140</v>
      </c>
      <c r="H51" s="86">
        <f>XM.HN!B34</f>
        <v>18.100000000000001</v>
      </c>
      <c r="I51" s="1755">
        <f>H51*8</f>
        <v>144.80000000000001</v>
      </c>
      <c r="J51" s="2463">
        <f>($G$51-I51)*19951/1000</f>
        <v>-95.764800000000221</v>
      </c>
      <c r="K51" s="1728" t="s">
        <v>8</v>
      </c>
      <c r="L51" s="1729">
        <f t="shared" ref="L51:L53" si="11">IF(J51&lt;0,0,J51)</f>
        <v>0</v>
      </c>
      <c r="M51" s="2489"/>
      <c r="N51" s="1732" t="s">
        <v>9</v>
      </c>
      <c r="O51" s="2515">
        <f>XM.HN!C34</f>
        <v>18.100000000000001</v>
      </c>
      <c r="P51" s="1755">
        <f>O51*8</f>
        <v>144.80000000000001</v>
      </c>
      <c r="Q51" s="2463">
        <f>($G$51-P51)*19951/1000</f>
        <v>-95.764800000000221</v>
      </c>
      <c r="R51" s="1728" t="s">
        <v>8</v>
      </c>
      <c r="S51" s="1729">
        <f t="shared" ref="S51:S53" si="12">IF(Q51&lt;0,0,Q51)</f>
        <v>0</v>
      </c>
      <c r="T51" s="2489"/>
      <c r="U51" s="1732" t="s">
        <v>9</v>
      </c>
      <c r="V51" s="2514">
        <f>XM.HN!D34</f>
        <v>17.899999999999999</v>
      </c>
      <c r="W51" s="1755">
        <f>V51*8</f>
        <v>143.19999999999999</v>
      </c>
      <c r="X51" s="2463">
        <f>($G$51-W51)*19951/1000</f>
        <v>-63.843199999999769</v>
      </c>
      <c r="Y51" s="1728" t="s">
        <v>8</v>
      </c>
      <c r="Z51" s="1729">
        <f t="shared" ref="Z51:Z53" si="13">IF(X51&lt;0,0,X51)</f>
        <v>0</v>
      </c>
      <c r="AA51" s="2489"/>
      <c r="AB51" s="1732" t="s">
        <v>9</v>
      </c>
      <c r="AC51" s="2514">
        <f>XM.HN!E34</f>
        <v>17.899999999999999</v>
      </c>
      <c r="AD51" s="1755">
        <f>AC51*8</f>
        <v>143.19999999999999</v>
      </c>
      <c r="AE51" s="2463">
        <f>($G$51-AD51)*19951/1000</f>
        <v>-63.843199999999769</v>
      </c>
      <c r="AF51" s="1728" t="s">
        <v>8</v>
      </c>
      <c r="AG51" s="1729">
        <f t="shared" ref="AG51:AG53" si="14">IF(AE51&lt;0,0,AE51)</f>
        <v>0</v>
      </c>
      <c r="AH51" s="2489"/>
      <c r="AI51" s="1732" t="s">
        <v>9</v>
      </c>
      <c r="AJ51" s="2514">
        <f>XM.HN!F34</f>
        <v>18</v>
      </c>
      <c r="AK51" s="1755">
        <f>AJ51*8</f>
        <v>144</v>
      </c>
      <c r="AL51" s="2463">
        <f>($G$51-AK51)*19951/1000</f>
        <v>-79.804000000000002</v>
      </c>
      <c r="AM51" s="1728" t="s">
        <v>8</v>
      </c>
      <c r="AN51" s="1729">
        <f t="shared" ref="AN51:AN53" si="15">IF(AL51&lt;0,0,AL51)</f>
        <v>0</v>
      </c>
      <c r="AO51" s="2489"/>
      <c r="AP51" s="1732" t="s">
        <v>9</v>
      </c>
      <c r="AQ51" s="2514">
        <f>XM.HN!G34</f>
        <v>18</v>
      </c>
      <c r="AR51" s="1755">
        <f>AQ51*8</f>
        <v>144</v>
      </c>
      <c r="AS51" s="1741">
        <f>($G$51-AR51)*19951/1000</f>
        <v>-79.804000000000002</v>
      </c>
      <c r="AT51" s="1728" t="s">
        <v>8</v>
      </c>
      <c r="AU51" s="1729">
        <f t="shared" ref="AU51:AU53" si="16">IF(AS51&lt;0,0,AS51)</f>
        <v>0</v>
      </c>
      <c r="AV51" s="1729"/>
      <c r="AW51" s="1730" t="s">
        <v>9</v>
      </c>
      <c r="AZ51" s="1755">
        <v>140.4</v>
      </c>
      <c r="BA51" s="264">
        <v>-7.9804000000001132</v>
      </c>
      <c r="BB51" s="264" t="s">
        <v>8</v>
      </c>
      <c r="BC51" s="264">
        <v>0</v>
      </c>
      <c r="BE51" s="264" t="s">
        <v>9</v>
      </c>
    </row>
    <row r="52" spans="1:57" ht="34.5" customHeight="1">
      <c r="A52" s="44" t="s">
        <v>265</v>
      </c>
      <c r="B52" s="993" t="s">
        <v>213</v>
      </c>
      <c r="C52" s="988" t="s">
        <v>56</v>
      </c>
      <c r="D52" s="999" t="s">
        <v>4</v>
      </c>
      <c r="E52" s="2163" t="str">
        <f>'XM.GUI MAIL'!E52</f>
        <v>8~12</v>
      </c>
      <c r="F52" s="1896" t="s">
        <v>1508</v>
      </c>
      <c r="G52" s="1912">
        <f>'XM.GUI MAIL'!G52</f>
        <v>10</v>
      </c>
      <c r="H52" s="86">
        <f>XM.HN!B35</f>
        <v>7.7</v>
      </c>
      <c r="I52" s="1731">
        <f>H52*1.3</f>
        <v>10.01</v>
      </c>
      <c r="J52" s="2476">
        <f>($G$52-I52)*19951/1000</f>
        <v>-0.19950999999999575</v>
      </c>
      <c r="K52" s="1728" t="s">
        <v>8</v>
      </c>
      <c r="L52" s="1729">
        <f t="shared" si="11"/>
        <v>0</v>
      </c>
      <c r="M52" s="2489"/>
      <c r="N52" s="1730" t="s">
        <v>976</v>
      </c>
      <c r="O52" s="2510">
        <f>XM.HN!C35</f>
        <v>7.5</v>
      </c>
      <c r="P52" s="1731">
        <f>O52*1.3</f>
        <v>9.75</v>
      </c>
      <c r="Q52" s="2476">
        <f>($G$52-P52)*19951/1000</f>
        <v>4.9877500000000001</v>
      </c>
      <c r="R52" s="1728" t="s">
        <v>8</v>
      </c>
      <c r="S52" s="1729">
        <f t="shared" si="12"/>
        <v>4.9877500000000001</v>
      </c>
      <c r="T52" s="2489"/>
      <c r="U52" s="1730" t="s">
        <v>976</v>
      </c>
      <c r="V52" s="2542">
        <f>XM.HN!D35</f>
        <v>7.5</v>
      </c>
      <c r="W52" s="1731">
        <f>V52*1.3</f>
        <v>9.75</v>
      </c>
      <c r="X52" s="2476">
        <f>($G$52-W52)*19951/1000</f>
        <v>4.9877500000000001</v>
      </c>
      <c r="Y52" s="1728" t="s">
        <v>8</v>
      </c>
      <c r="Z52" s="1729">
        <f t="shared" si="13"/>
        <v>4.9877500000000001</v>
      </c>
      <c r="AA52" s="2489"/>
      <c r="AB52" s="1730" t="s">
        <v>976</v>
      </c>
      <c r="AC52" s="2510">
        <f>XM.HN!E35</f>
        <v>7.6</v>
      </c>
      <c r="AD52" s="1731">
        <f>AC52*1.3</f>
        <v>9.879999999999999</v>
      </c>
      <c r="AE52" s="2476">
        <f>($G$52-AD52)*19951/1000</f>
        <v>2.39412000000002</v>
      </c>
      <c r="AF52" s="1728" t="s">
        <v>8</v>
      </c>
      <c r="AG52" s="1729">
        <f t="shared" si="14"/>
        <v>2.39412000000002</v>
      </c>
      <c r="AH52" s="2489"/>
      <c r="AI52" s="1730" t="s">
        <v>976</v>
      </c>
      <c r="AJ52" s="2510">
        <f>XM.HN!F35</f>
        <v>7.6</v>
      </c>
      <c r="AK52" s="1731">
        <f>AJ52*1.3</f>
        <v>9.879999999999999</v>
      </c>
      <c r="AL52" s="2476">
        <f>($G$52-AK52)*19951/1000</f>
        <v>2.39412000000002</v>
      </c>
      <c r="AM52" s="1728" t="s">
        <v>8</v>
      </c>
      <c r="AN52" s="1729">
        <f t="shared" si="15"/>
        <v>2.39412000000002</v>
      </c>
      <c r="AO52" s="2489"/>
      <c r="AP52" s="1730" t="s">
        <v>976</v>
      </c>
      <c r="AQ52" s="2510">
        <f>XM.HN!G35</f>
        <v>7.7</v>
      </c>
      <c r="AR52" s="1731">
        <f>AQ52*1.3</f>
        <v>10.01</v>
      </c>
      <c r="AS52" s="1741">
        <f>($G$52-AR52)*19951/1000</f>
        <v>-0.19950999999999575</v>
      </c>
      <c r="AT52" s="1728" t="s">
        <v>8</v>
      </c>
      <c r="AU52" s="1729">
        <f t="shared" si="16"/>
        <v>0</v>
      </c>
      <c r="AV52" s="1729"/>
      <c r="AW52" s="1730" t="s">
        <v>976</v>
      </c>
      <c r="AZ52" s="1731">
        <v>9.75</v>
      </c>
      <c r="BA52" s="264">
        <v>4.9877500000000001</v>
      </c>
      <c r="BB52" s="264" t="s">
        <v>8</v>
      </c>
      <c r="BC52" s="264">
        <v>4.9877500000000001</v>
      </c>
      <c r="BE52" s="264" t="s">
        <v>9</v>
      </c>
    </row>
    <row r="53" spans="1:57" ht="34.5" customHeight="1">
      <c r="A53" s="274" t="s">
        <v>266</v>
      </c>
      <c r="B53" s="993" t="s">
        <v>213</v>
      </c>
      <c r="C53" s="997" t="s">
        <v>968</v>
      </c>
      <c r="D53" s="999" t="s">
        <v>3</v>
      </c>
      <c r="E53" s="2163" t="str">
        <f>'XM.GUI MAIL'!E53</f>
        <v xml:space="preserve">6~10 </v>
      </c>
      <c r="F53" s="1896" t="str">
        <f>'XM.GUI MAIL'!F53</f>
        <v>(7±1)</v>
      </c>
      <c r="G53" s="1338">
        <f>'XM.GUI MAIL'!G53</f>
        <v>7</v>
      </c>
      <c r="H53" s="86">
        <f>XM.HN!B36</f>
        <v>19.5</v>
      </c>
      <c r="I53" s="1731">
        <f>(H53*0.4237)-1.0461</f>
        <v>7.2160500000000001</v>
      </c>
      <c r="J53" s="2476">
        <f>($G$53-I53)*575/100</f>
        <v>-1.2422875000000004</v>
      </c>
      <c r="K53" s="1728" t="s">
        <v>8</v>
      </c>
      <c r="L53" s="1729">
        <f t="shared" si="11"/>
        <v>0</v>
      </c>
      <c r="M53" s="2489"/>
      <c r="N53" s="1732" t="s">
        <v>10</v>
      </c>
      <c r="O53" s="2510">
        <f>XM.HN!C36</f>
        <v>19.3</v>
      </c>
      <c r="P53" s="1731">
        <f>(O53*0.4237)-1.0461</f>
        <v>7.13131</v>
      </c>
      <c r="Q53" s="2476">
        <f>($G$53-P53)*575/100</f>
        <v>-0.75503250000000022</v>
      </c>
      <c r="R53" s="1728" t="s">
        <v>8</v>
      </c>
      <c r="S53" s="1729">
        <f t="shared" si="12"/>
        <v>0</v>
      </c>
      <c r="T53" s="2489"/>
      <c r="U53" s="1732" t="s">
        <v>10</v>
      </c>
      <c r="V53" s="2065">
        <f>XM.HN!D36</f>
        <v>19.5</v>
      </c>
      <c r="W53" s="1731">
        <f>(V53*0.4237)-1.0461</f>
        <v>7.2160500000000001</v>
      </c>
      <c r="X53" s="2476">
        <f>($G$53-W53)*575/100</f>
        <v>-1.2422875000000004</v>
      </c>
      <c r="Y53" s="1728" t="s">
        <v>8</v>
      </c>
      <c r="Z53" s="1729">
        <f t="shared" si="13"/>
        <v>0</v>
      </c>
      <c r="AA53" s="2489"/>
      <c r="AB53" s="1732" t="s">
        <v>10</v>
      </c>
      <c r="AC53" s="2065">
        <f>XM.HN!E36</f>
        <v>19.399999999999999</v>
      </c>
      <c r="AD53" s="1731">
        <f>(AC53*0.4237)-1.0461</f>
        <v>7.1736800000000001</v>
      </c>
      <c r="AE53" s="2476">
        <f>($G$53-AD53)*575/100</f>
        <v>-0.99866000000000033</v>
      </c>
      <c r="AF53" s="1728" t="s">
        <v>8</v>
      </c>
      <c r="AG53" s="1729">
        <f t="shared" si="14"/>
        <v>0</v>
      </c>
      <c r="AH53" s="2489"/>
      <c r="AI53" s="1732" t="s">
        <v>10</v>
      </c>
      <c r="AJ53" s="2065">
        <f>XM.HN!F36</f>
        <v>19</v>
      </c>
      <c r="AK53" s="1731">
        <f>(AJ53*0.4237)-1.0461</f>
        <v>7.0042</v>
      </c>
      <c r="AL53" s="2476">
        <f>($G$53-AK53)*575/100</f>
        <v>-2.4149999999999894E-2</v>
      </c>
      <c r="AM53" s="1728" t="s">
        <v>8</v>
      </c>
      <c r="AN53" s="1729">
        <f t="shared" si="15"/>
        <v>0</v>
      </c>
      <c r="AO53" s="2489"/>
      <c r="AP53" s="1732" t="s">
        <v>10</v>
      </c>
      <c r="AQ53" s="2065">
        <f>XM.HN!G36</f>
        <v>17.8</v>
      </c>
      <c r="AR53" s="1731">
        <v>6.5</v>
      </c>
      <c r="AS53" s="1741">
        <f>($G$53-AR53)*575/100</f>
        <v>2.875</v>
      </c>
      <c r="AT53" s="1728" t="s">
        <v>8</v>
      </c>
      <c r="AU53" s="1729">
        <f t="shared" si="16"/>
        <v>2.875</v>
      </c>
      <c r="AV53" s="1729"/>
      <c r="AW53" s="1730" t="s">
        <v>10</v>
      </c>
      <c r="AZ53" s="1731">
        <v>6.8</v>
      </c>
      <c r="BA53" s="264">
        <v>1.150000000000001</v>
      </c>
      <c r="BB53" s="264" t="s">
        <v>8</v>
      </c>
      <c r="BC53" s="264">
        <v>1.150000000000001</v>
      </c>
      <c r="BE53" s="264" t="s">
        <v>10</v>
      </c>
    </row>
    <row r="54" spans="1:57" ht="34.5" customHeight="1">
      <c r="A54" s="274" t="s">
        <v>267</v>
      </c>
      <c r="B54" s="993" t="s">
        <v>213</v>
      </c>
      <c r="C54" s="277" t="s">
        <v>119</v>
      </c>
      <c r="D54" s="999" t="s">
        <v>5</v>
      </c>
      <c r="E54" s="2163" t="str">
        <f>'XM.GUI MAIL'!E54</f>
        <v>2~2.5</v>
      </c>
      <c r="F54" s="1896" t="str">
        <f>'XM.GUI MAIL'!F54</f>
        <v>(2.3±0.1 )</v>
      </c>
      <c r="G54" s="1338">
        <f>'XM.GUI MAIL'!G54</f>
        <v>0</v>
      </c>
      <c r="H54" s="86"/>
      <c r="I54" s="1731">
        <f>XM.HN!B44</f>
        <v>2.23</v>
      </c>
      <c r="J54" s="2476"/>
      <c r="K54" s="1734"/>
      <c r="L54" s="1734"/>
      <c r="M54" s="2466"/>
      <c r="N54" s="1735"/>
      <c r="O54" s="2510"/>
      <c r="P54" s="1731">
        <f>XM.HN!C44</f>
        <v>2.2400000000000002</v>
      </c>
      <c r="Q54" s="2483"/>
      <c r="R54" s="1742"/>
      <c r="S54" s="1742"/>
      <c r="T54" s="2483"/>
      <c r="U54" s="1743"/>
      <c r="W54" s="1731">
        <f>XM.HN!D44</f>
        <v>2.35</v>
      </c>
      <c r="X54" s="2483"/>
      <c r="Y54" s="1742"/>
      <c r="Z54" s="1742"/>
      <c r="AA54" s="2483"/>
      <c r="AB54" s="1743"/>
      <c r="AD54" s="1731">
        <f>XM.HN!E44</f>
        <v>2.4</v>
      </c>
      <c r="AE54" s="2483"/>
      <c r="AF54" s="1742"/>
      <c r="AG54" s="1742"/>
      <c r="AH54" s="2483"/>
      <c r="AI54" s="1743"/>
      <c r="AK54" s="1731">
        <f>XM.HN!F44</f>
        <v>2.35</v>
      </c>
      <c r="AL54" s="2483"/>
      <c r="AM54" s="1742"/>
      <c r="AN54" s="1742"/>
      <c r="AO54" s="2483"/>
      <c r="AP54" s="1743"/>
      <c r="AR54" s="1731">
        <f>XM.HN!G44</f>
        <v>2.4</v>
      </c>
      <c r="AS54" s="1741"/>
      <c r="AT54" s="1734"/>
      <c r="AU54" s="1734"/>
      <c r="AV54" s="1734"/>
      <c r="AW54" s="1771"/>
      <c r="AZ54" s="1731">
        <v>2.2599999999999998</v>
      </c>
    </row>
    <row r="55" spans="1:57" ht="34.5" customHeight="1">
      <c r="A55" s="275" t="s">
        <v>268</v>
      </c>
      <c r="B55" s="993" t="s">
        <v>213</v>
      </c>
      <c r="C55" s="994" t="s">
        <v>57</v>
      </c>
      <c r="D55" s="999" t="s">
        <v>6</v>
      </c>
      <c r="E55" s="2163" t="str">
        <f>'XM.GUI MAIL'!E55</f>
        <v xml:space="preserve">40~50 </v>
      </c>
      <c r="F55" s="1896" t="str">
        <f>'XM.GUI MAIL'!F55</f>
        <v>(45±5)</v>
      </c>
      <c r="G55" s="1334">
        <f>'XM.GUI MAIL'!G55</f>
        <v>0.45</v>
      </c>
      <c r="H55" s="86">
        <f>XM.HN!B38</f>
        <v>4.0999999999999996</v>
      </c>
      <c r="I55" s="1736">
        <f>(1*H55*36.5)/(1*10)/32%/100</f>
        <v>0.46765624999999994</v>
      </c>
      <c r="J55" s="2465">
        <f>($G$55-I55)*2122</f>
        <v>-37.466562499999853</v>
      </c>
      <c r="K55" s="1738" t="s">
        <v>8</v>
      </c>
      <c r="L55" s="1739">
        <f>IF(J55&lt;0,0,J55)</f>
        <v>0</v>
      </c>
      <c r="M55" s="2490"/>
      <c r="N55" s="1744" t="s">
        <v>10</v>
      </c>
      <c r="O55" s="2515">
        <f>XM.HN!C38</f>
        <v>4.2</v>
      </c>
      <c r="P55" s="1736">
        <f>(1*O55*36.5)/(1*10)/32%/100</f>
        <v>0.47906250000000006</v>
      </c>
      <c r="Q55" s="2465">
        <f>($G$55-P55)*2122</f>
        <v>-61.670625000000101</v>
      </c>
      <c r="R55" s="1738" t="s">
        <v>8</v>
      </c>
      <c r="S55" s="1739">
        <f>IF(Q55&lt;0,0,Q55)</f>
        <v>0</v>
      </c>
      <c r="T55" s="2490"/>
      <c r="U55" s="1744" t="s">
        <v>10</v>
      </c>
      <c r="V55" s="2514">
        <f>XM.HN!D38</f>
        <v>4</v>
      </c>
      <c r="W55" s="1736">
        <f>(1*V55*36.5)/(1*10)/32%/100</f>
        <v>0.45624999999999999</v>
      </c>
      <c r="X55" s="2465">
        <f>($G$55-W55)*2122</f>
        <v>-13.262499999999953</v>
      </c>
      <c r="Y55" s="1738" t="s">
        <v>8</v>
      </c>
      <c r="Z55" s="1739">
        <f>IF(X55&lt;0,0,X55)</f>
        <v>0</v>
      </c>
      <c r="AA55" s="2490"/>
      <c r="AB55" s="1744" t="s">
        <v>10</v>
      </c>
      <c r="AC55" s="2514">
        <f>XM.HN!E38</f>
        <v>4</v>
      </c>
      <c r="AD55" s="1736">
        <f>(1*AC55*36.5)/(1*10)/32%/100</f>
        <v>0.45624999999999999</v>
      </c>
      <c r="AE55" s="2465">
        <f>($G$55-AD55)*2122</f>
        <v>-13.262499999999953</v>
      </c>
      <c r="AF55" s="1738" t="s">
        <v>8</v>
      </c>
      <c r="AG55" s="1739">
        <f>IF(AE55&lt;0,0,AE55)</f>
        <v>0</v>
      </c>
      <c r="AH55" s="2490"/>
      <c r="AI55" s="1744" t="s">
        <v>10</v>
      </c>
      <c r="AJ55" s="2514">
        <f>XM.HN!F38</f>
        <v>3.9</v>
      </c>
      <c r="AK55" s="1736">
        <f>(1*AJ55*36.5)/(1*10)/32%/100</f>
        <v>0.44484374999999998</v>
      </c>
      <c r="AL55" s="2465">
        <f>($G$55-AK55)*2122</f>
        <v>10.941562500000062</v>
      </c>
      <c r="AM55" s="1738" t="s">
        <v>8</v>
      </c>
      <c r="AN55" s="1739">
        <f>IF(AL55&lt;0,0,AL55)</f>
        <v>10.941562500000062</v>
      </c>
      <c r="AO55" s="2490"/>
      <c r="AP55" s="1744" t="s">
        <v>10</v>
      </c>
      <c r="AQ55" s="2514">
        <f>XM.HN!G38</f>
        <v>4.0999999999999996</v>
      </c>
      <c r="AR55" s="1736">
        <f>(1*AQ55*36.5)/(1*10)/32%/100</f>
        <v>0.46765624999999994</v>
      </c>
      <c r="AS55" s="1741">
        <f>($G$55-AR55)*2122</f>
        <v>-37.466562499999853</v>
      </c>
      <c r="AT55" s="1738" t="s">
        <v>8</v>
      </c>
      <c r="AU55" s="1739">
        <f>IF(AS55&lt;0,0,AS55)</f>
        <v>0</v>
      </c>
      <c r="AV55" s="1739"/>
      <c r="AW55" s="1740" t="s">
        <v>10</v>
      </c>
      <c r="AZ55" s="1736">
        <v>0.43914062500000001</v>
      </c>
      <c r="BA55" s="264">
        <v>23.04359375000001</v>
      </c>
      <c r="BB55" s="264" t="s">
        <v>8</v>
      </c>
      <c r="BC55" s="264">
        <v>23.04359375000001</v>
      </c>
      <c r="BE55" s="264" t="s">
        <v>10</v>
      </c>
    </row>
    <row r="56" spans="1:57" ht="34.5" hidden="1" customHeight="1">
      <c r="A56" s="275" t="s">
        <v>269</v>
      </c>
      <c r="B56" s="993" t="s">
        <v>213</v>
      </c>
      <c r="C56" s="994" t="s">
        <v>58</v>
      </c>
      <c r="D56" s="999" t="s">
        <v>6</v>
      </c>
      <c r="E56" s="2163" t="str">
        <f>'XM.GUI MAIL'!E56</f>
        <v>(22±5) =17~27</v>
      </c>
      <c r="F56" s="1896" t="str">
        <f>'XM.GUI MAIL'!F56</f>
        <v>(22±5)</v>
      </c>
      <c r="G56" s="1334">
        <f>'XM.GUI MAIL'!G56</f>
        <v>0.22</v>
      </c>
      <c r="H56" s="86">
        <f>XM.HN!B39</f>
        <v>0</v>
      </c>
      <c r="I56" s="1736">
        <f>(1*H56*36.5)/(1*10)/32%/100</f>
        <v>0</v>
      </c>
      <c r="J56" s="2465">
        <f>($G$56-I56)*612</f>
        <v>134.64000000000001</v>
      </c>
      <c r="K56" s="1738" t="s">
        <v>8</v>
      </c>
      <c r="L56" s="1739">
        <f>IF(J56&lt;0,0,J56)</f>
        <v>134.64000000000001</v>
      </c>
      <c r="M56" s="2490"/>
      <c r="N56" s="1744" t="s">
        <v>10</v>
      </c>
      <c r="O56" s="2515">
        <f>XM.HN!C39</f>
        <v>0</v>
      </c>
      <c r="P56" s="1736">
        <f>(1*O56*36.5)/(1*10)/32%/100</f>
        <v>0</v>
      </c>
      <c r="Q56" s="2465">
        <f>($G$56-P56)*612</f>
        <v>134.64000000000001</v>
      </c>
      <c r="R56" s="1738" t="s">
        <v>8</v>
      </c>
      <c r="S56" s="1739">
        <f>IF(Q56&lt;0,0,Q56)</f>
        <v>134.64000000000001</v>
      </c>
      <c r="T56" s="2490"/>
      <c r="U56" s="1744" t="s">
        <v>10</v>
      </c>
      <c r="V56" s="2514">
        <f>XM.HN!D39</f>
        <v>0</v>
      </c>
      <c r="W56" s="1736">
        <f>(1*V56*36.5)/(1*10)/32%/100</f>
        <v>0</v>
      </c>
      <c r="X56" s="2465">
        <f>($G$56-W56)*612</f>
        <v>134.64000000000001</v>
      </c>
      <c r="Y56" s="1738" t="s">
        <v>8</v>
      </c>
      <c r="Z56" s="1739">
        <f>IF(X56&lt;0,0,X56)</f>
        <v>134.64000000000001</v>
      </c>
      <c r="AA56" s="2490"/>
      <c r="AB56" s="1744" t="s">
        <v>10</v>
      </c>
      <c r="AC56" s="2514">
        <f>XM.HN!E39</f>
        <v>0</v>
      </c>
      <c r="AD56" s="1736">
        <f>(1*AC56*36.5)/(1*10)/32%/100</f>
        <v>0</v>
      </c>
      <c r="AE56" s="2465">
        <f>($G$56-AD56)*612</f>
        <v>134.64000000000001</v>
      </c>
      <c r="AF56" s="1738" t="s">
        <v>8</v>
      </c>
      <c r="AG56" s="1739">
        <f>IF(AE56&lt;0,0,AE56)</f>
        <v>134.64000000000001</v>
      </c>
      <c r="AH56" s="2490"/>
      <c r="AI56" s="1744" t="s">
        <v>10</v>
      </c>
      <c r="AJ56" s="2514">
        <f>XM.HN!F39</f>
        <v>0</v>
      </c>
      <c r="AK56" s="1736">
        <f>(1*AJ56*36.5)/(1*10)/32%/100</f>
        <v>0</v>
      </c>
      <c r="AL56" s="2465">
        <f>($G$56-AK56)*612</f>
        <v>134.64000000000001</v>
      </c>
      <c r="AM56" s="1738" t="s">
        <v>8</v>
      </c>
      <c r="AN56" s="1739">
        <f>IF(AL56&lt;0,0,AL56)</f>
        <v>134.64000000000001</v>
      </c>
      <c r="AO56" s="2490"/>
      <c r="AP56" s="1744" t="s">
        <v>10</v>
      </c>
      <c r="AQ56" s="2514">
        <f>XM.HN!G39</f>
        <v>0</v>
      </c>
      <c r="AR56" s="1736">
        <f>(1*AQ56*36.5)/(1*10)/32%/100</f>
        <v>0</v>
      </c>
      <c r="AS56" s="1741">
        <f>($G$56-AR56)*612</f>
        <v>134.64000000000001</v>
      </c>
      <c r="AT56" s="1738" t="s">
        <v>8</v>
      </c>
      <c r="AU56" s="1739">
        <f>IF(AS56&lt;0,0,AS56)</f>
        <v>134.64000000000001</v>
      </c>
      <c r="AV56" s="1739"/>
      <c r="AW56" s="1740" t="s">
        <v>10</v>
      </c>
      <c r="AZ56" s="1736">
        <v>0</v>
      </c>
      <c r="BA56" s="264">
        <v>134.64000000000001</v>
      </c>
      <c r="BB56" s="264" t="s">
        <v>8</v>
      </c>
      <c r="BC56" s="264">
        <v>134.64000000000001</v>
      </c>
      <c r="BE56" s="264" t="s">
        <v>10</v>
      </c>
    </row>
    <row r="57" spans="1:57" ht="34.5" hidden="1" customHeight="1">
      <c r="A57" s="275" t="s">
        <v>270</v>
      </c>
      <c r="B57" s="993" t="s">
        <v>213</v>
      </c>
      <c r="C57" s="994" t="s">
        <v>59</v>
      </c>
      <c r="D57" s="44" t="s">
        <v>6</v>
      </c>
      <c r="E57" s="2163" t="str">
        <f>'XM.GUI MAIL'!E57</f>
        <v>5~15</v>
      </c>
      <c r="F57" s="1896" t="str">
        <f>'XM.GUI MAIL'!F57</f>
        <v>(10±3)</v>
      </c>
      <c r="G57" s="1334">
        <f>'XM.GUI MAIL'!G57</f>
        <v>0.1</v>
      </c>
      <c r="H57" s="86">
        <f>XM.HN!B40</f>
        <v>3.5</v>
      </c>
      <c r="I57" s="1736">
        <f>(1*H57*36.5)/(5*10)/32%/100</f>
        <v>7.9843750000000005E-2</v>
      </c>
      <c r="J57" s="2465">
        <f>($G$57-I57)*575</f>
        <v>11.58984375</v>
      </c>
      <c r="K57" s="1738" t="s">
        <v>8</v>
      </c>
      <c r="L57" s="1739">
        <f>IF(J57&lt;0,0,J57)</f>
        <v>11.58984375</v>
      </c>
      <c r="M57" s="2490"/>
      <c r="N57" s="1740" t="s">
        <v>10</v>
      </c>
      <c r="O57" s="2517">
        <f>XM.HN!C40</f>
        <v>3.6</v>
      </c>
      <c r="P57" s="1736">
        <f>(1*O57*36.5)/(5*10)/32%/100</f>
        <v>8.2125000000000004E-2</v>
      </c>
      <c r="Q57" s="2465">
        <f>($G$57-P57)*575</f>
        <v>10.278125000000001</v>
      </c>
      <c r="R57" s="1738" t="s">
        <v>8</v>
      </c>
      <c r="S57" s="1739">
        <f>IF(Q57&lt;0,0,Q57)</f>
        <v>10.278125000000001</v>
      </c>
      <c r="T57" s="2490"/>
      <c r="U57" s="1740" t="s">
        <v>10</v>
      </c>
      <c r="V57" s="2517">
        <f>XM.HN!D40</f>
        <v>3.85</v>
      </c>
      <c r="W57" s="1736">
        <f>(1*V57*36.5)/(5*10)/32%/100</f>
        <v>8.7828125000000007E-2</v>
      </c>
      <c r="X57" s="2465">
        <f>($G$57-W57)*575</f>
        <v>6.9988281249999993</v>
      </c>
      <c r="Y57" s="1738" t="s">
        <v>8</v>
      </c>
      <c r="Z57" s="1739">
        <f>IF(X57&lt;0,0,X57)</f>
        <v>6.9988281249999993</v>
      </c>
      <c r="AA57" s="2490"/>
      <c r="AB57" s="1740" t="s">
        <v>10</v>
      </c>
      <c r="AC57" s="2517">
        <f>XM.HN!E40</f>
        <v>3</v>
      </c>
      <c r="AD57" s="1736">
        <f>(1*AC57*36.5)/(5*10)/32%/100</f>
        <v>6.8437499999999998E-2</v>
      </c>
      <c r="AE57" s="2465">
        <f>($G$57-AD57)*575</f>
        <v>18.148437500000004</v>
      </c>
      <c r="AF57" s="1738" t="s">
        <v>8</v>
      </c>
      <c r="AG57" s="1739">
        <f>IF(AE57&lt;0,0,AE57)</f>
        <v>18.148437500000004</v>
      </c>
      <c r="AH57" s="2490"/>
      <c r="AI57" s="1740" t="s">
        <v>10</v>
      </c>
      <c r="AJ57" s="2514">
        <f>XM.HN!F40</f>
        <v>5</v>
      </c>
      <c r="AK57" s="1736">
        <f>(1*AJ57*36.5)/(5*10)/32%/100</f>
        <v>0.1140625</v>
      </c>
      <c r="AL57" s="2465">
        <f>($G$57-AK57)*575</f>
        <v>-8.0859374999999947</v>
      </c>
      <c r="AM57" s="1738" t="s">
        <v>8</v>
      </c>
      <c r="AN57" s="1739">
        <f>IF(AL57&lt;0,0,AL57)</f>
        <v>0</v>
      </c>
      <c r="AO57" s="2490"/>
      <c r="AP57" s="1740" t="s">
        <v>10</v>
      </c>
      <c r="AQ57" s="2514">
        <f>XM.HN!G40</f>
        <v>4.5</v>
      </c>
      <c r="AR57" s="1736">
        <f>(1*AQ57*36.5)/(5*10)/32%/100</f>
        <v>0.10265625</v>
      </c>
      <c r="AS57" s="1734">
        <f>($G$57-AR57)*575</f>
        <v>-1.5273437499999993</v>
      </c>
      <c r="AT57" s="1738" t="s">
        <v>8</v>
      </c>
      <c r="AU57" s="1739">
        <f>IF(AS57&lt;0,0,AS57)</f>
        <v>0</v>
      </c>
      <c r="AV57" s="1739"/>
      <c r="AW57" s="1740" t="s">
        <v>10</v>
      </c>
      <c r="AZ57" s="1736">
        <v>9.3531249999999982E-2</v>
      </c>
      <c r="BA57" s="264">
        <v>3.7195312500000135</v>
      </c>
      <c r="BB57" s="264" t="s">
        <v>8</v>
      </c>
      <c r="BC57" s="264">
        <v>3.7195312500000135</v>
      </c>
      <c r="BE57" s="264" t="s">
        <v>10</v>
      </c>
    </row>
    <row r="58" spans="1:57" ht="34.5" customHeight="1">
      <c r="A58" s="275" t="s">
        <v>271</v>
      </c>
      <c r="B58" s="993" t="s">
        <v>213</v>
      </c>
      <c r="C58" s="994" t="s">
        <v>145</v>
      </c>
      <c r="D58" s="1036" t="s">
        <v>983</v>
      </c>
      <c r="E58" s="2163" t="str">
        <f>'XM.GUI MAIL'!E58</f>
        <v>0.5~1.5</v>
      </c>
      <c r="F58" s="1896" t="str">
        <f>'XM.GUI MAIL'!F58</f>
        <v>(1±0.4)</v>
      </c>
      <c r="G58" s="1334">
        <f>'XM.GUI MAIL'!G58</f>
        <v>0.01</v>
      </c>
      <c r="H58" s="86">
        <f>XM.HN!B41</f>
        <v>8.8000000000000007</v>
      </c>
      <c r="I58" s="1767">
        <f>(H58*0.126)/100</f>
        <v>1.1088000000000001E-2</v>
      </c>
      <c r="J58" s="2465">
        <f>($G$23-I58)*530/65%/1.51</f>
        <v>-2.2074783494651045</v>
      </c>
      <c r="K58" s="1738" t="s">
        <v>8</v>
      </c>
      <c r="L58" s="1866">
        <f>IF(J58&lt;0,0,J58)</f>
        <v>0</v>
      </c>
      <c r="M58" s="2491"/>
      <c r="N58" s="1740" t="s">
        <v>10</v>
      </c>
      <c r="O58" s="2517">
        <f>XM.HN!C41</f>
        <v>10.5</v>
      </c>
      <c r="P58" s="1767">
        <f>(O58*0.126)/100</f>
        <v>1.3229999999999999E-2</v>
      </c>
      <c r="Q58" s="2465">
        <f>($G$23-P58)*530/65%/1.51</f>
        <v>-3.3641365257259288</v>
      </c>
      <c r="R58" s="1738" t="s">
        <v>8</v>
      </c>
      <c r="S58" s="1866">
        <f>IF(Q58&lt;0,0,Q58)</f>
        <v>0</v>
      </c>
      <c r="T58" s="2491"/>
      <c r="U58" s="1740" t="s">
        <v>10</v>
      </c>
      <c r="V58" s="2517">
        <f>XM.HN!D41</f>
        <v>8.8000000000000007</v>
      </c>
      <c r="W58" s="1767">
        <f>(V58*0.126)/100</f>
        <v>1.1088000000000001E-2</v>
      </c>
      <c r="X58" s="2465">
        <f>($G$23-W58)*530/65%/1.51</f>
        <v>-2.2074783494651045</v>
      </c>
      <c r="Y58" s="1738" t="s">
        <v>8</v>
      </c>
      <c r="Z58" s="1866">
        <f>IF(X58&lt;0,0,X58)</f>
        <v>0</v>
      </c>
      <c r="AA58" s="2491"/>
      <c r="AB58" s="1740" t="s">
        <v>10</v>
      </c>
      <c r="AC58" s="2517">
        <f>XM.HN!E41</f>
        <v>8.5</v>
      </c>
      <c r="AD58" s="1767">
        <f>(AC58*0.126)/100</f>
        <v>1.0709999999999999E-2</v>
      </c>
      <c r="AE58" s="2465">
        <f>($G$23-AD58)*530/65%/1.51</f>
        <v>-2.0033622007131937</v>
      </c>
      <c r="AF58" s="1738" t="s">
        <v>8</v>
      </c>
      <c r="AG58" s="1866">
        <f>IF(AE58&lt;0,0,AE58)</f>
        <v>0</v>
      </c>
      <c r="AH58" s="2491"/>
      <c r="AI58" s="1740" t="s">
        <v>10</v>
      </c>
      <c r="AJ58" s="2514">
        <f>XM.HN!F41</f>
        <v>10</v>
      </c>
      <c r="AK58" s="1767">
        <f>(AJ58*0.126)/100</f>
        <v>1.26E-2</v>
      </c>
      <c r="AL58" s="2465">
        <f>($G$23-AK58)*530/65%/1.51</f>
        <v>-3.0239429444727453</v>
      </c>
      <c r="AM58" s="1738" t="s">
        <v>8</v>
      </c>
      <c r="AN58" s="1866">
        <f>IF(AL58&lt;0,0,AL58)</f>
        <v>0</v>
      </c>
      <c r="AO58" s="2491"/>
      <c r="AP58" s="1740" t="s">
        <v>10</v>
      </c>
      <c r="AQ58" s="2514">
        <f>XM.HN!G41</f>
        <v>8</v>
      </c>
      <c r="AR58" s="1767">
        <f>(AQ58*0.126)/100</f>
        <v>1.008E-2</v>
      </c>
      <c r="AS58" s="1737">
        <f>($G$23-AR58)*530/65%/1.51</f>
        <v>-1.6631686194600102</v>
      </c>
      <c r="AT58" s="1738" t="s">
        <v>8</v>
      </c>
      <c r="AU58" s="1866">
        <f>IF(AS58&lt;0,0,AS58)</f>
        <v>0</v>
      </c>
      <c r="AV58" s="1866"/>
      <c r="AW58" s="1740" t="s">
        <v>10</v>
      </c>
      <c r="AZ58" s="1767">
        <v>1.1088000000000001E-2</v>
      </c>
      <c r="BA58" s="264">
        <v>-2.2074783494651045</v>
      </c>
      <c r="BB58" s="264" t="s">
        <v>8</v>
      </c>
      <c r="BC58" s="264">
        <v>0</v>
      </c>
      <c r="BE58" s="264" t="s">
        <v>10</v>
      </c>
    </row>
    <row r="59" spans="1:57" ht="48" customHeight="1">
      <c r="A59" s="274" t="s">
        <v>272</v>
      </c>
      <c r="B59" s="993" t="s">
        <v>213</v>
      </c>
      <c r="C59" s="291" t="s">
        <v>1136</v>
      </c>
      <c r="D59" s="44" t="s">
        <v>3</v>
      </c>
      <c r="E59" s="13" t="str">
        <f>'XM.GUI MAIL'!E59</f>
        <v>5~8</v>
      </c>
      <c r="F59" s="1896" t="str">
        <f>'XM.GUI MAIL'!F59</f>
        <v>(6±0.5)</v>
      </c>
      <c r="G59" s="1338">
        <f>'XM.GUI MAIL'!G59</f>
        <v>6</v>
      </c>
      <c r="H59" s="86">
        <f>XM.HN!B42</f>
        <v>7.25</v>
      </c>
      <c r="I59" s="1833">
        <v>6.4</v>
      </c>
      <c r="J59" s="2467">
        <f>($G$59-I59)*575/95</f>
        <v>-2.4210526315789496</v>
      </c>
      <c r="K59" s="1738" t="s">
        <v>8</v>
      </c>
      <c r="L59" s="1866">
        <f>IF(J59&lt;0,0,J59)</f>
        <v>0</v>
      </c>
      <c r="M59" s="2496"/>
      <c r="N59" s="1744" t="s">
        <v>10</v>
      </c>
      <c r="O59" s="2517">
        <f>XM.HN!C42</f>
        <v>0</v>
      </c>
      <c r="P59" s="1833" t="s">
        <v>1679</v>
      </c>
      <c r="Q59" s="2467" t="e">
        <f>($G$59-P59)*575/95</f>
        <v>#VALUE!</v>
      </c>
      <c r="R59" s="1738"/>
      <c r="S59" s="1866"/>
      <c r="T59" s="2496"/>
      <c r="U59" s="1744" t="s">
        <v>10</v>
      </c>
      <c r="V59" s="2517">
        <f>XM.HN!D42</f>
        <v>0</v>
      </c>
      <c r="W59" s="1833" t="s">
        <v>1679</v>
      </c>
      <c r="X59" s="2467" t="e">
        <f>($G$59-W59)*575/95</f>
        <v>#VALUE!</v>
      </c>
      <c r="Y59" s="1738"/>
      <c r="Z59" s="1866"/>
      <c r="AA59" s="2496"/>
      <c r="AB59" s="1744" t="s">
        <v>10</v>
      </c>
      <c r="AC59" s="2517">
        <f>XM.HN!E42</f>
        <v>7.4</v>
      </c>
      <c r="AD59" s="1833">
        <v>6.5</v>
      </c>
      <c r="AE59" s="2467">
        <f>($G$59-AD59)*575/95</f>
        <v>-3.0263157894736841</v>
      </c>
      <c r="AF59" s="1738" t="s">
        <v>8</v>
      </c>
      <c r="AG59" s="1866">
        <f>IF(AE59&lt;0,0,AE59)</f>
        <v>0</v>
      </c>
      <c r="AH59" s="2496"/>
      <c r="AI59" s="1744" t="s">
        <v>10</v>
      </c>
      <c r="AJ59" s="2517">
        <f>XM.HN!F42</f>
        <v>0</v>
      </c>
      <c r="AK59" s="1833" t="s">
        <v>1692</v>
      </c>
      <c r="AL59" s="2467" t="e">
        <f>($G$59-AK59)*575/95</f>
        <v>#VALUE!</v>
      </c>
      <c r="AM59" s="1738" t="s">
        <v>8</v>
      </c>
      <c r="AN59" s="1866"/>
      <c r="AO59" s="2496"/>
      <c r="AP59" s="1744" t="s">
        <v>10</v>
      </c>
      <c r="AQ59" s="2517">
        <f>XM.HN!G42</f>
        <v>0</v>
      </c>
      <c r="AR59" s="1833" t="s">
        <v>1692</v>
      </c>
      <c r="AS59" s="1727" t="e">
        <f>($G$59-AR59)*575/95</f>
        <v>#VALUE!</v>
      </c>
      <c r="AT59" s="1728" t="s">
        <v>8</v>
      </c>
      <c r="AU59" s="2174"/>
      <c r="AV59" s="1729"/>
      <c r="AW59" s="1730" t="s">
        <v>10</v>
      </c>
      <c r="AZ59" s="1867" t="s">
        <v>1675</v>
      </c>
      <c r="BA59" s="264" t="e">
        <v>#VALUE!</v>
      </c>
      <c r="BB59" s="264" t="s">
        <v>8</v>
      </c>
      <c r="BE59" s="264" t="s">
        <v>10</v>
      </c>
    </row>
    <row r="60" spans="1:57" ht="41.25" customHeight="1">
      <c r="A60" s="44" t="s">
        <v>273</v>
      </c>
      <c r="B60" s="993" t="s">
        <v>213</v>
      </c>
      <c r="C60" s="292" t="s">
        <v>119</v>
      </c>
      <c r="D60" s="44" t="s">
        <v>5</v>
      </c>
      <c r="E60" s="13" t="str">
        <f>'XM.GUI MAIL'!E60</f>
        <v>1.8~2.4</v>
      </c>
      <c r="F60" s="1896" t="str">
        <f>'XM.GUI MAIL'!F60</f>
        <v>(2.1±0.1 )</v>
      </c>
      <c r="G60" s="1335"/>
      <c r="H60" s="86"/>
      <c r="I60" s="1761">
        <f>XM.HN!B43</f>
        <v>2.0299999999999998</v>
      </c>
      <c r="J60" s="2477"/>
      <c r="K60" s="2061"/>
      <c r="L60" s="2062"/>
      <c r="M60" s="2497"/>
      <c r="N60" s="2180"/>
      <c r="O60" s="2528"/>
      <c r="P60" s="1833" t="s">
        <v>1679</v>
      </c>
      <c r="Q60" s="2467" t="e">
        <f>($G$59-P60)*575/95</f>
        <v>#VALUE!</v>
      </c>
      <c r="R60" s="1738"/>
      <c r="S60" s="1866"/>
      <c r="T60" s="2497"/>
      <c r="U60" s="2180"/>
      <c r="V60" s="2528"/>
      <c r="W60" s="1833" t="s">
        <v>1679</v>
      </c>
      <c r="X60" s="2467" t="e">
        <f>($G$59-W60)*575/95</f>
        <v>#VALUE!</v>
      </c>
      <c r="Y60" s="1738"/>
      <c r="Z60" s="1866"/>
      <c r="AA60" s="2497"/>
      <c r="AB60" s="2180"/>
      <c r="AC60" s="2528"/>
      <c r="AD60" s="1761">
        <f>XM.HN!E43</f>
        <v>2</v>
      </c>
      <c r="AE60" s="2477"/>
      <c r="AF60" s="2061"/>
      <c r="AG60" s="2062"/>
      <c r="AH60" s="2497"/>
      <c r="AI60" s="2180"/>
      <c r="AJ60" s="2528"/>
      <c r="AK60" s="1833" t="s">
        <v>1692</v>
      </c>
      <c r="AL60" s="2477"/>
      <c r="AM60" s="2061"/>
      <c r="AN60" s="2062"/>
      <c r="AO60" s="2497"/>
      <c r="AP60" s="2180"/>
      <c r="AQ60" s="2528"/>
      <c r="AR60" s="1833" t="s">
        <v>1692</v>
      </c>
      <c r="AS60" s="1733"/>
      <c r="AT60" s="1728"/>
      <c r="AU60" s="1729"/>
      <c r="AV60" s="1729"/>
      <c r="AW60" s="1771"/>
      <c r="AZ60" s="1868" t="s">
        <v>1675</v>
      </c>
    </row>
    <row r="61" spans="1:57" s="205" customFormat="1" ht="54" customHeight="1">
      <c r="A61" s="284" t="s">
        <v>72</v>
      </c>
      <c r="B61" s="285"/>
      <c r="C61" s="285"/>
      <c r="D61" s="285"/>
      <c r="E61" s="295"/>
      <c r="F61" s="282"/>
      <c r="G61" s="295"/>
      <c r="H61" s="285"/>
      <c r="I61" s="1399"/>
      <c r="J61" s="2468"/>
      <c r="K61" s="1399"/>
      <c r="L61" s="1399"/>
      <c r="M61" s="2468"/>
      <c r="N61" s="1399"/>
      <c r="O61" s="2468"/>
      <c r="P61" s="286"/>
      <c r="Q61" s="2468"/>
      <c r="R61" s="1399"/>
      <c r="S61" s="1399"/>
      <c r="T61" s="2505"/>
      <c r="U61" s="286"/>
      <c r="V61" s="2468"/>
      <c r="W61" s="286"/>
      <c r="X61" s="2468"/>
      <c r="Y61" s="1399"/>
      <c r="Z61" s="1399"/>
      <c r="AA61" s="2468"/>
      <c r="AB61" s="1399"/>
      <c r="AC61" s="2468"/>
      <c r="AD61" s="1399"/>
      <c r="AE61" s="2468"/>
      <c r="AF61" s="1399"/>
      <c r="AG61" s="1399"/>
      <c r="AH61" s="2468"/>
      <c r="AI61" s="1399"/>
      <c r="AJ61" s="2569"/>
      <c r="AK61" s="286"/>
      <c r="AL61" s="2569"/>
      <c r="AM61" s="286"/>
      <c r="AN61" s="286"/>
      <c r="AO61" s="2569"/>
      <c r="AP61" s="286"/>
      <c r="AQ61" s="2569"/>
      <c r="AR61" s="286"/>
      <c r="AS61" s="286"/>
      <c r="AT61" s="286"/>
      <c r="AU61" s="286"/>
      <c r="AV61" s="286"/>
      <c r="AW61" s="1002"/>
      <c r="AX61" s="2075"/>
      <c r="AY61" s="2075"/>
      <c r="AZ61" s="264"/>
      <c r="BA61" s="88"/>
      <c r="BB61" s="88"/>
    </row>
    <row r="62" spans="1:57" ht="44.25" customHeight="1">
      <c r="A62" s="999" t="s">
        <v>236</v>
      </c>
      <c r="B62" s="992" t="s">
        <v>315</v>
      </c>
      <c r="C62" s="990" t="s">
        <v>60</v>
      </c>
      <c r="D62" s="990" t="s">
        <v>62</v>
      </c>
      <c r="E62" s="1382" t="s">
        <v>1290</v>
      </c>
      <c r="F62" s="1888" t="s">
        <v>1289</v>
      </c>
      <c r="G62" s="1120"/>
      <c r="H62" s="89"/>
      <c r="I62" s="1720" t="s">
        <v>45</v>
      </c>
      <c r="J62" s="2469"/>
      <c r="K62" s="1721"/>
      <c r="L62" s="1721" t="s">
        <v>61</v>
      </c>
      <c r="M62" s="2469"/>
      <c r="N62" s="1773"/>
      <c r="O62" s="2529"/>
      <c r="P62" s="1720" t="s">
        <v>45</v>
      </c>
      <c r="Q62" s="2469"/>
      <c r="R62" s="1721"/>
      <c r="S62" s="1721" t="s">
        <v>61</v>
      </c>
      <c r="T62" s="2469"/>
      <c r="U62" s="1773"/>
      <c r="V62" s="2550"/>
      <c r="W62" s="1720" t="s">
        <v>45</v>
      </c>
      <c r="X62" s="2469"/>
      <c r="Y62" s="1721"/>
      <c r="Z62" s="1721" t="s">
        <v>61</v>
      </c>
      <c r="AA62" s="2469"/>
      <c r="AB62" s="1773"/>
      <c r="AC62" s="2550"/>
      <c r="AD62" s="1720" t="s">
        <v>45</v>
      </c>
      <c r="AE62" s="2469"/>
      <c r="AF62" s="1721"/>
      <c r="AG62" s="1721" t="s">
        <v>61</v>
      </c>
      <c r="AH62" s="2469"/>
      <c r="AI62" s="1773"/>
      <c r="AJ62" s="2550"/>
      <c r="AK62" s="1720" t="s">
        <v>45</v>
      </c>
      <c r="AL62" s="2469"/>
      <c r="AM62" s="1721"/>
      <c r="AN62" s="1721" t="s">
        <v>61</v>
      </c>
      <c r="AO62" s="2469"/>
      <c r="AP62" s="1773"/>
      <c r="AQ62" s="2550"/>
      <c r="AR62" s="1720" t="s">
        <v>45</v>
      </c>
      <c r="AS62" s="1721"/>
      <c r="AT62" s="1721"/>
      <c r="AU62" s="1721" t="s">
        <v>61</v>
      </c>
      <c r="AV62" s="1721"/>
      <c r="AW62" s="1722"/>
      <c r="AZ62" s="264" t="s">
        <v>45</v>
      </c>
      <c r="BC62" s="264" t="s">
        <v>61</v>
      </c>
    </row>
    <row r="63" spans="1:57" ht="38.25" customHeight="1">
      <c r="A63" s="993" t="s">
        <v>274</v>
      </c>
      <c r="B63" s="993" t="s">
        <v>213</v>
      </c>
      <c r="C63" s="989" t="s">
        <v>64</v>
      </c>
      <c r="D63" s="94" t="s">
        <v>104</v>
      </c>
      <c r="E63" s="1330" t="str">
        <f>'XM.GUI MAIL'!E63</f>
        <v>50~70</v>
      </c>
      <c r="F63" s="1889" t="str">
        <f>'XM.GUI MAIL'!F63</f>
        <v>(60±5)</v>
      </c>
      <c r="G63" s="1333"/>
      <c r="H63" s="95"/>
      <c r="I63" s="3095">
        <v>43</v>
      </c>
      <c r="J63" s="3086"/>
      <c r="K63" s="3086"/>
      <c r="L63" s="3086">
        <v>42</v>
      </c>
      <c r="M63" s="3086"/>
      <c r="N63" s="3097"/>
      <c r="O63" s="2521"/>
      <c r="P63" s="3095">
        <v>42</v>
      </c>
      <c r="Q63" s="3086"/>
      <c r="R63" s="3086"/>
      <c r="S63" s="3086">
        <v>43</v>
      </c>
      <c r="T63" s="3086"/>
      <c r="U63" s="3097"/>
      <c r="V63" s="2522"/>
      <c r="W63" s="3095">
        <v>55</v>
      </c>
      <c r="X63" s="3086"/>
      <c r="Y63" s="3086"/>
      <c r="Z63" s="3086">
        <v>55</v>
      </c>
      <c r="AA63" s="3086"/>
      <c r="AB63" s="3097"/>
      <c r="AC63" s="2522"/>
      <c r="AD63" s="3095">
        <v>55</v>
      </c>
      <c r="AE63" s="3086"/>
      <c r="AF63" s="3086"/>
      <c r="AG63" s="3086">
        <v>54</v>
      </c>
      <c r="AH63" s="3086"/>
      <c r="AI63" s="3087"/>
      <c r="AJ63" s="2572"/>
      <c r="AK63" s="3095">
        <v>55</v>
      </c>
      <c r="AL63" s="3086"/>
      <c r="AM63" s="3086"/>
      <c r="AN63" s="3086">
        <v>54</v>
      </c>
      <c r="AO63" s="3086"/>
      <c r="AP63" s="3087"/>
      <c r="AQ63" s="2572"/>
      <c r="AR63" s="3095">
        <v>55</v>
      </c>
      <c r="AS63" s="3086"/>
      <c r="AT63" s="3086"/>
      <c r="AU63" s="3086">
        <v>54</v>
      </c>
      <c r="AV63" s="3086"/>
      <c r="AW63" s="3087"/>
      <c r="AZ63" s="264">
        <v>43</v>
      </c>
      <c r="BC63" s="264">
        <v>42</v>
      </c>
    </row>
    <row r="64" spans="1:57" ht="38.25" customHeight="1">
      <c r="A64" s="993" t="s">
        <v>275</v>
      </c>
      <c r="B64" s="993" t="s">
        <v>213</v>
      </c>
      <c r="C64" s="989" t="s">
        <v>65</v>
      </c>
      <c r="D64" s="94" t="s">
        <v>104</v>
      </c>
      <c r="E64" s="1330" t="str">
        <f>'XM.GUI MAIL'!E64</f>
        <v>50~70</v>
      </c>
      <c r="F64" s="1889" t="str">
        <f>'XM.GUI MAIL'!F64</f>
        <v>(60±5)</v>
      </c>
      <c r="G64" s="1333"/>
      <c r="H64" s="95"/>
      <c r="I64" s="3095">
        <v>58</v>
      </c>
      <c r="J64" s="3086"/>
      <c r="K64" s="3086"/>
      <c r="L64" s="3086">
        <v>57</v>
      </c>
      <c r="M64" s="3086"/>
      <c r="N64" s="3097"/>
      <c r="O64" s="2521"/>
      <c r="P64" s="3095">
        <v>57</v>
      </c>
      <c r="Q64" s="3086"/>
      <c r="R64" s="3086"/>
      <c r="S64" s="3086">
        <v>58</v>
      </c>
      <c r="T64" s="3086"/>
      <c r="U64" s="3097"/>
      <c r="V64" s="2522"/>
      <c r="W64" s="3095">
        <v>58</v>
      </c>
      <c r="X64" s="3086"/>
      <c r="Y64" s="3086"/>
      <c r="Z64" s="3086">
        <v>58</v>
      </c>
      <c r="AA64" s="3086"/>
      <c r="AB64" s="3097"/>
      <c r="AC64" s="2522"/>
      <c r="AD64" s="3095">
        <v>59</v>
      </c>
      <c r="AE64" s="3086"/>
      <c r="AF64" s="3086"/>
      <c r="AG64" s="3086">
        <v>58</v>
      </c>
      <c r="AH64" s="3086"/>
      <c r="AI64" s="3087"/>
      <c r="AJ64" s="2572"/>
      <c r="AK64" s="3095">
        <v>59</v>
      </c>
      <c r="AL64" s="3086"/>
      <c r="AM64" s="3086"/>
      <c r="AN64" s="3086">
        <v>58</v>
      </c>
      <c r="AO64" s="3086"/>
      <c r="AP64" s="3087"/>
      <c r="AQ64" s="2572"/>
      <c r="AR64" s="3095">
        <v>58</v>
      </c>
      <c r="AS64" s="3086"/>
      <c r="AT64" s="3086"/>
      <c r="AU64" s="3086">
        <v>57</v>
      </c>
      <c r="AV64" s="3086"/>
      <c r="AW64" s="3087"/>
      <c r="AZ64" s="264">
        <v>59</v>
      </c>
      <c r="BC64" s="264">
        <v>58</v>
      </c>
    </row>
    <row r="65" spans="1:57" ht="38.25" customHeight="1">
      <c r="A65" s="993" t="s">
        <v>276</v>
      </c>
      <c r="B65" s="993" t="s">
        <v>213</v>
      </c>
      <c r="C65" s="989" t="s">
        <v>67</v>
      </c>
      <c r="D65" s="94" t="s">
        <v>104</v>
      </c>
      <c r="E65" s="1330" t="str">
        <f>'XM.GUI MAIL'!E65</f>
        <v>40~60</v>
      </c>
      <c r="F65" s="1889" t="str">
        <f>'XM.GUI MAIL'!F65</f>
        <v>(50±5)</v>
      </c>
      <c r="G65" s="1333"/>
      <c r="H65" s="95"/>
      <c r="I65" s="3095">
        <v>52</v>
      </c>
      <c r="J65" s="3086"/>
      <c r="K65" s="3097"/>
      <c r="L65" s="3086">
        <v>51</v>
      </c>
      <c r="M65" s="3086"/>
      <c r="N65" s="3087"/>
      <c r="O65" s="2520"/>
      <c r="P65" s="3095">
        <v>52</v>
      </c>
      <c r="Q65" s="3086"/>
      <c r="R65" s="3097"/>
      <c r="S65" s="3086">
        <v>51</v>
      </c>
      <c r="T65" s="3086"/>
      <c r="U65" s="3087"/>
      <c r="V65" s="2544"/>
      <c r="W65" s="3095">
        <v>52</v>
      </c>
      <c r="X65" s="3086"/>
      <c r="Y65" s="3097"/>
      <c r="Z65" s="3086">
        <v>52</v>
      </c>
      <c r="AA65" s="3086"/>
      <c r="AB65" s="3087"/>
      <c r="AC65" s="2556"/>
      <c r="AD65" s="3095">
        <v>53</v>
      </c>
      <c r="AE65" s="3086"/>
      <c r="AF65" s="3097"/>
      <c r="AG65" s="3086">
        <v>52</v>
      </c>
      <c r="AH65" s="3086"/>
      <c r="AI65" s="3087"/>
      <c r="AJ65" s="2556"/>
      <c r="AK65" s="3095">
        <v>52</v>
      </c>
      <c r="AL65" s="3086"/>
      <c r="AM65" s="3097"/>
      <c r="AN65" s="3086">
        <v>51</v>
      </c>
      <c r="AO65" s="3086"/>
      <c r="AP65" s="3087"/>
      <c r="AQ65" s="2556"/>
      <c r="AR65" s="3095">
        <v>53</v>
      </c>
      <c r="AS65" s="3086"/>
      <c r="AT65" s="3097"/>
      <c r="AU65" s="3086">
        <v>52</v>
      </c>
      <c r="AV65" s="3086"/>
      <c r="AW65" s="3087"/>
      <c r="AZ65" s="264">
        <v>53</v>
      </c>
      <c r="BC65" s="264">
        <v>52</v>
      </c>
    </row>
    <row r="66" spans="1:57" ht="38.25" customHeight="1">
      <c r="A66" s="993" t="s">
        <v>277</v>
      </c>
      <c r="B66" s="993" t="s">
        <v>213</v>
      </c>
      <c r="C66" s="989" t="s">
        <v>66</v>
      </c>
      <c r="D66" s="94" t="s">
        <v>104</v>
      </c>
      <c r="E66" s="1330" t="str">
        <f>'XM.GUI MAIL'!E66</f>
        <v>40~60</v>
      </c>
      <c r="F66" s="1889" t="str">
        <f>'XM.GUI MAIL'!F66</f>
        <v>(50±5)</v>
      </c>
      <c r="G66" s="1333"/>
      <c r="H66" s="95"/>
      <c r="I66" s="3095">
        <v>50</v>
      </c>
      <c r="J66" s="3086"/>
      <c r="K66" s="3097"/>
      <c r="L66" s="3086">
        <v>49</v>
      </c>
      <c r="M66" s="3086"/>
      <c r="N66" s="3087"/>
      <c r="O66" s="2520"/>
      <c r="P66" s="3095">
        <v>48</v>
      </c>
      <c r="Q66" s="3086"/>
      <c r="R66" s="3097"/>
      <c r="S66" s="3086">
        <v>48</v>
      </c>
      <c r="T66" s="3086"/>
      <c r="U66" s="3087"/>
      <c r="V66" s="2544"/>
      <c r="W66" s="3095">
        <v>48</v>
      </c>
      <c r="X66" s="3086"/>
      <c r="Y66" s="3097"/>
      <c r="Z66" s="3086">
        <v>48</v>
      </c>
      <c r="AA66" s="3086"/>
      <c r="AB66" s="3087"/>
      <c r="AC66" s="2556"/>
      <c r="AD66" s="3095">
        <v>49</v>
      </c>
      <c r="AE66" s="3086"/>
      <c r="AF66" s="3097"/>
      <c r="AG66" s="3086">
        <v>48</v>
      </c>
      <c r="AH66" s="3086"/>
      <c r="AI66" s="3087"/>
      <c r="AJ66" s="2556"/>
      <c r="AK66" s="3095">
        <v>51</v>
      </c>
      <c r="AL66" s="3086"/>
      <c r="AM66" s="3097"/>
      <c r="AN66" s="3086">
        <v>50</v>
      </c>
      <c r="AO66" s="3086"/>
      <c r="AP66" s="3087"/>
      <c r="AQ66" s="2556"/>
      <c r="AR66" s="3095">
        <v>49</v>
      </c>
      <c r="AS66" s="3086"/>
      <c r="AT66" s="3097"/>
      <c r="AU66" s="3086">
        <v>48</v>
      </c>
      <c r="AV66" s="3086"/>
      <c r="AW66" s="3087"/>
      <c r="AZ66" s="264">
        <v>51</v>
      </c>
      <c r="BC66" s="264">
        <v>51</v>
      </c>
    </row>
    <row r="67" spans="1:57" ht="38.25" customHeight="1">
      <c r="A67" s="993" t="s">
        <v>313</v>
      </c>
      <c r="B67" s="993" t="s">
        <v>213</v>
      </c>
      <c r="C67" s="989" t="s">
        <v>68</v>
      </c>
      <c r="D67" s="94" t="s">
        <v>104</v>
      </c>
      <c r="E67" s="1330" t="str">
        <f>'XM.GUI MAIL'!E67</f>
        <v>20~35</v>
      </c>
      <c r="F67" s="1897" t="str">
        <f>'XM.GUI MAIL'!F67</f>
        <v>(30±4)</v>
      </c>
      <c r="G67" s="1333"/>
      <c r="H67" s="95"/>
      <c r="I67" s="3095">
        <v>28</v>
      </c>
      <c r="J67" s="3086"/>
      <c r="K67" s="3086"/>
      <c r="L67" s="3086">
        <v>27</v>
      </c>
      <c r="M67" s="3086"/>
      <c r="N67" s="3086"/>
      <c r="O67" s="3087"/>
      <c r="P67" s="3095">
        <v>29</v>
      </c>
      <c r="Q67" s="3086"/>
      <c r="R67" s="3086"/>
      <c r="S67" s="3086">
        <v>30</v>
      </c>
      <c r="T67" s="3086"/>
      <c r="U67" s="3086"/>
      <c r="V67" s="3087"/>
      <c r="W67" s="3095">
        <v>30</v>
      </c>
      <c r="X67" s="3086"/>
      <c r="Y67" s="3086"/>
      <c r="Z67" s="3086">
        <v>30</v>
      </c>
      <c r="AA67" s="3086"/>
      <c r="AB67" s="3086"/>
      <c r="AC67" s="3087"/>
      <c r="AD67" s="3095">
        <v>30</v>
      </c>
      <c r="AE67" s="3086"/>
      <c r="AF67" s="3086"/>
      <c r="AG67" s="3086">
        <v>29</v>
      </c>
      <c r="AH67" s="3086"/>
      <c r="AI67" s="3086"/>
      <c r="AJ67" s="3087"/>
      <c r="AK67" s="3095">
        <v>30</v>
      </c>
      <c r="AL67" s="3086"/>
      <c r="AM67" s="3086"/>
      <c r="AN67" s="3086">
        <v>29</v>
      </c>
      <c r="AO67" s="3086"/>
      <c r="AP67" s="3086"/>
      <c r="AQ67" s="3087"/>
      <c r="AR67" s="3095">
        <v>29</v>
      </c>
      <c r="AS67" s="3086"/>
      <c r="AT67" s="3086"/>
      <c r="AU67" s="3086">
        <v>29</v>
      </c>
      <c r="AV67" s="3086"/>
      <c r="AW67" s="3087"/>
      <c r="AZ67" s="264">
        <v>30</v>
      </c>
      <c r="BC67" s="264">
        <v>30</v>
      </c>
    </row>
    <row r="68" spans="1:57" ht="38.25" customHeight="1">
      <c r="A68" s="274" t="s">
        <v>278</v>
      </c>
      <c r="B68" s="993" t="s">
        <v>213</v>
      </c>
      <c r="C68" s="989" t="s">
        <v>146</v>
      </c>
      <c r="D68" s="94" t="s">
        <v>104</v>
      </c>
      <c r="E68" s="1330" t="str">
        <f>'XM.GUI MAIL'!E68</f>
        <v>30-38</v>
      </c>
      <c r="F68" s="1897" t="str">
        <f>'XM.GUI MAIL'!F68</f>
        <v>(34±2)</v>
      </c>
      <c r="G68" s="1333"/>
      <c r="H68" s="95"/>
      <c r="I68" s="3095">
        <v>39</v>
      </c>
      <c r="J68" s="3086"/>
      <c r="K68" s="3086"/>
      <c r="L68" s="3086">
        <v>38</v>
      </c>
      <c r="M68" s="3086"/>
      <c r="N68" s="3086"/>
      <c r="O68" s="3087"/>
      <c r="P68" s="3095">
        <v>38</v>
      </c>
      <c r="Q68" s="3086"/>
      <c r="R68" s="3086"/>
      <c r="S68" s="3086">
        <v>38</v>
      </c>
      <c r="T68" s="3086"/>
      <c r="U68" s="3086"/>
      <c r="V68" s="3087"/>
      <c r="W68" s="3095">
        <v>38</v>
      </c>
      <c r="X68" s="3086"/>
      <c r="Y68" s="3086"/>
      <c r="Z68" s="3086">
        <v>38</v>
      </c>
      <c r="AA68" s="3086"/>
      <c r="AB68" s="3086"/>
      <c r="AC68" s="3087"/>
      <c r="AD68" s="3095">
        <v>38</v>
      </c>
      <c r="AE68" s="3086"/>
      <c r="AF68" s="3086"/>
      <c r="AG68" s="3086">
        <v>38</v>
      </c>
      <c r="AH68" s="3086"/>
      <c r="AI68" s="3086"/>
      <c r="AJ68" s="3087"/>
      <c r="AK68" s="3095">
        <v>37</v>
      </c>
      <c r="AL68" s="3086"/>
      <c r="AM68" s="3086"/>
      <c r="AN68" s="3086">
        <v>37</v>
      </c>
      <c r="AO68" s="3086"/>
      <c r="AP68" s="3086"/>
      <c r="AQ68" s="3087"/>
      <c r="AR68" s="3095">
        <v>37</v>
      </c>
      <c r="AS68" s="3086"/>
      <c r="AT68" s="3086"/>
      <c r="AU68" s="3086">
        <v>37</v>
      </c>
      <c r="AV68" s="3086"/>
      <c r="AW68" s="3087"/>
      <c r="AZ68" s="264">
        <v>38</v>
      </c>
      <c r="BC68" s="264">
        <v>38</v>
      </c>
    </row>
    <row r="69" spans="1:57" ht="38.25" customHeight="1">
      <c r="A69" s="274" t="s">
        <v>279</v>
      </c>
      <c r="B69" s="993" t="s">
        <v>213</v>
      </c>
      <c r="C69" s="989" t="s">
        <v>69</v>
      </c>
      <c r="D69" s="94" t="s">
        <v>104</v>
      </c>
      <c r="E69" s="1330" t="str">
        <f>'XM.GUI MAIL'!E69</f>
        <v>50~70</v>
      </c>
      <c r="F69" s="1897" t="str">
        <f>'XM.GUI MAIL'!F69</f>
        <v>(60±10)</v>
      </c>
      <c r="G69" s="1333"/>
      <c r="H69" s="95"/>
      <c r="I69" s="3095">
        <v>53</v>
      </c>
      <c r="J69" s="3086"/>
      <c r="K69" s="3097"/>
      <c r="L69" s="3086">
        <v>52</v>
      </c>
      <c r="M69" s="3086"/>
      <c r="N69" s="3087"/>
      <c r="O69" s="2521"/>
      <c r="P69" s="3095">
        <v>52</v>
      </c>
      <c r="Q69" s="3086"/>
      <c r="R69" s="3097"/>
      <c r="S69" s="3086">
        <v>52</v>
      </c>
      <c r="T69" s="3086"/>
      <c r="U69" s="3087"/>
      <c r="V69" s="2522"/>
      <c r="W69" s="3095">
        <v>52</v>
      </c>
      <c r="X69" s="3086"/>
      <c r="Y69" s="3097"/>
      <c r="Z69" s="3086">
        <v>53</v>
      </c>
      <c r="AA69" s="3086"/>
      <c r="AB69" s="3087"/>
      <c r="AC69" s="2522"/>
      <c r="AD69" s="3095">
        <v>55</v>
      </c>
      <c r="AE69" s="3086"/>
      <c r="AF69" s="3097"/>
      <c r="AG69" s="3086">
        <v>54</v>
      </c>
      <c r="AH69" s="3086"/>
      <c r="AI69" s="3087"/>
      <c r="AJ69" s="2572"/>
      <c r="AK69" s="3095">
        <v>55</v>
      </c>
      <c r="AL69" s="3086"/>
      <c r="AM69" s="3097"/>
      <c r="AN69" s="3086">
        <v>54</v>
      </c>
      <c r="AO69" s="3086"/>
      <c r="AP69" s="3087"/>
      <c r="AQ69" s="2572"/>
      <c r="AR69" s="3095">
        <v>54</v>
      </c>
      <c r="AS69" s="3086"/>
      <c r="AT69" s="3097"/>
      <c r="AU69" s="3086">
        <v>53</v>
      </c>
      <c r="AV69" s="3086"/>
      <c r="AW69" s="3087"/>
      <c r="AZ69" s="264">
        <v>53</v>
      </c>
      <c r="BC69" s="264">
        <v>52</v>
      </c>
    </row>
    <row r="70" spans="1:57" ht="38.25" customHeight="1">
      <c r="A70" s="44" t="s">
        <v>280</v>
      </c>
      <c r="B70" s="993" t="s">
        <v>213</v>
      </c>
      <c r="C70" s="989" t="s">
        <v>70</v>
      </c>
      <c r="D70" s="94" t="s">
        <v>104</v>
      </c>
      <c r="E70" s="1330" t="str">
        <f>'XM.GUI MAIL'!E70</f>
        <v>80~100</v>
      </c>
      <c r="F70" s="1897" t="str">
        <f>'XM.GUI MAIL'!F70</f>
        <v>(90±5)</v>
      </c>
      <c r="G70" s="1333"/>
      <c r="H70" s="95"/>
      <c r="I70" s="3112" t="s">
        <v>46</v>
      </c>
      <c r="J70" s="3113"/>
      <c r="K70" s="3113"/>
      <c r="L70" s="3086">
        <v>90</v>
      </c>
      <c r="M70" s="3086"/>
      <c r="N70" s="3087"/>
      <c r="O70" s="2530"/>
      <c r="P70" s="3092" t="s">
        <v>46</v>
      </c>
      <c r="Q70" s="3093"/>
      <c r="R70" s="3094"/>
      <c r="S70" s="3086">
        <v>92</v>
      </c>
      <c r="T70" s="3086"/>
      <c r="U70" s="3087"/>
      <c r="V70" s="2530"/>
      <c r="W70" s="3092" t="s">
        <v>46</v>
      </c>
      <c r="X70" s="3093"/>
      <c r="Y70" s="3094"/>
      <c r="Z70" s="3086">
        <v>83</v>
      </c>
      <c r="AA70" s="3086"/>
      <c r="AB70" s="3087"/>
      <c r="AC70" s="2530"/>
      <c r="AD70" s="3092" t="s">
        <v>46</v>
      </c>
      <c r="AE70" s="3093"/>
      <c r="AF70" s="3094"/>
      <c r="AG70" s="3086">
        <v>90</v>
      </c>
      <c r="AH70" s="3086"/>
      <c r="AI70" s="3087"/>
      <c r="AJ70" s="2530"/>
      <c r="AK70" s="3092" t="s">
        <v>46</v>
      </c>
      <c r="AL70" s="3093"/>
      <c r="AM70" s="3094"/>
      <c r="AN70" s="3086">
        <v>86</v>
      </c>
      <c r="AO70" s="3086"/>
      <c r="AP70" s="3087"/>
      <c r="AQ70" s="2530"/>
      <c r="AR70" s="3092" t="s">
        <v>46</v>
      </c>
      <c r="AS70" s="3093"/>
      <c r="AT70" s="3094"/>
      <c r="AU70" s="3086">
        <v>89</v>
      </c>
      <c r="AV70" s="3086"/>
      <c r="AW70" s="3087"/>
      <c r="AZ70" s="264" t="s">
        <v>46</v>
      </c>
      <c r="BC70" s="264">
        <v>90</v>
      </c>
    </row>
    <row r="71" spans="1:57" s="205" customFormat="1" ht="54" customHeight="1">
      <c r="A71" s="284" t="s">
        <v>74</v>
      </c>
      <c r="B71" s="285"/>
      <c r="C71" s="285"/>
      <c r="D71" s="285"/>
      <c r="E71" s="295"/>
      <c r="F71" s="282"/>
      <c r="G71" s="295"/>
      <c r="H71" s="285"/>
      <c r="I71" s="285"/>
      <c r="J71" s="2470"/>
      <c r="K71" s="285"/>
      <c r="L71" s="285"/>
      <c r="M71" s="2470"/>
      <c r="N71" s="285"/>
      <c r="O71" s="2470"/>
      <c r="P71" s="286"/>
      <c r="Q71" s="2470"/>
      <c r="R71" s="285"/>
      <c r="S71" s="285"/>
      <c r="T71" s="2505"/>
      <c r="U71" s="286"/>
      <c r="V71" s="2470"/>
      <c r="W71" s="286"/>
      <c r="X71" s="2470"/>
      <c r="Y71" s="285"/>
      <c r="Z71" s="285"/>
      <c r="AA71" s="2470"/>
      <c r="AB71" s="285"/>
      <c r="AC71" s="2470"/>
      <c r="AD71" s="285"/>
      <c r="AE71" s="2470"/>
      <c r="AF71" s="285"/>
      <c r="AG71" s="285"/>
      <c r="AH71" s="2470"/>
      <c r="AI71" s="285"/>
      <c r="AJ71" s="2569"/>
      <c r="AK71" s="286"/>
      <c r="AL71" s="2569"/>
      <c r="AM71" s="286"/>
      <c r="AN71" s="286"/>
      <c r="AO71" s="2569"/>
      <c r="AP71" s="286"/>
      <c r="AQ71" s="2569"/>
      <c r="AR71" s="286"/>
      <c r="AS71" s="286"/>
      <c r="AT71" s="286"/>
      <c r="AU71" s="286"/>
      <c r="AV71" s="286"/>
      <c r="AW71" s="1001"/>
      <c r="AX71" s="2075"/>
      <c r="AY71" s="2075"/>
      <c r="AZ71" s="88"/>
      <c r="BA71" s="88"/>
      <c r="BB71" s="88"/>
    </row>
    <row r="72" spans="1:57" ht="39.75" customHeight="1">
      <c r="A72" s="274" t="s">
        <v>281</v>
      </c>
      <c r="B72" s="993" t="s">
        <v>213</v>
      </c>
      <c r="C72" s="995" t="s">
        <v>234</v>
      </c>
      <c r="D72" s="1056" t="s">
        <v>1641</v>
      </c>
      <c r="E72" s="962" t="str">
        <f>'XM.GUI MAIL'!E72</f>
        <v>100-200</v>
      </c>
      <c r="F72" s="1897" t="str">
        <f>'XM.GUI MAIL'!F72</f>
        <v>100-200</v>
      </c>
      <c r="G72" s="14"/>
      <c r="H72" s="41"/>
      <c r="I72" s="3098">
        <v>175</v>
      </c>
      <c r="J72" s="3099"/>
      <c r="K72" s="3099"/>
      <c r="L72" s="3099"/>
      <c r="M72" s="3099"/>
      <c r="N72" s="3100"/>
      <c r="O72" s="2520"/>
      <c r="P72" s="3098">
        <v>178</v>
      </c>
      <c r="Q72" s="3099"/>
      <c r="R72" s="3099"/>
      <c r="S72" s="3099"/>
      <c r="T72" s="3099"/>
      <c r="U72" s="3100"/>
      <c r="V72" s="2551"/>
      <c r="W72" s="3098">
        <v>160</v>
      </c>
      <c r="X72" s="3099"/>
      <c r="Y72" s="3099"/>
      <c r="Z72" s="3099"/>
      <c r="AA72" s="3099"/>
      <c r="AB72" s="3100"/>
      <c r="AC72" s="2559"/>
      <c r="AD72" s="3098">
        <v>160</v>
      </c>
      <c r="AE72" s="3099"/>
      <c r="AF72" s="3099"/>
      <c r="AG72" s="3099"/>
      <c r="AH72" s="3099"/>
      <c r="AI72" s="3100"/>
      <c r="AJ72" s="2570"/>
      <c r="AK72" s="3098">
        <v>165</v>
      </c>
      <c r="AL72" s="3099"/>
      <c r="AM72" s="3099"/>
      <c r="AN72" s="3099"/>
      <c r="AO72" s="3099"/>
      <c r="AP72" s="3100"/>
      <c r="AQ72" s="2570"/>
      <c r="AR72" s="3098">
        <v>165</v>
      </c>
      <c r="AS72" s="3099"/>
      <c r="AT72" s="3099"/>
      <c r="AU72" s="3099"/>
      <c r="AV72" s="3099"/>
      <c r="AW72" s="3099"/>
      <c r="AZ72" s="264">
        <v>170</v>
      </c>
    </row>
    <row r="73" spans="1:57" ht="41.25" customHeight="1">
      <c r="A73" s="44" t="s">
        <v>282</v>
      </c>
      <c r="B73" s="993" t="s">
        <v>213</v>
      </c>
      <c r="C73" s="101" t="s">
        <v>235</v>
      </c>
      <c r="D73" s="1056" t="s">
        <v>1641</v>
      </c>
      <c r="E73" s="962" t="str">
        <f>'XM.GUI MAIL'!E73</f>
        <v>20-50</v>
      </c>
      <c r="F73" s="1897" t="str">
        <f>'XM.GUI MAIL'!F73</f>
        <v>20-50</v>
      </c>
      <c r="G73" s="14"/>
      <c r="H73" s="41"/>
      <c r="I73" s="3098">
        <v>30</v>
      </c>
      <c r="J73" s="3099"/>
      <c r="K73" s="3099"/>
      <c r="L73" s="3099"/>
      <c r="M73" s="3099"/>
      <c r="N73" s="3100"/>
      <c r="O73" s="2523"/>
      <c r="P73" s="3098">
        <v>32</v>
      </c>
      <c r="Q73" s="3099"/>
      <c r="R73" s="3099"/>
      <c r="S73" s="3099"/>
      <c r="T73" s="3099"/>
      <c r="U73" s="3100"/>
      <c r="V73" s="2551"/>
      <c r="W73" s="3098">
        <v>24</v>
      </c>
      <c r="X73" s="3099"/>
      <c r="Y73" s="3099"/>
      <c r="Z73" s="3099"/>
      <c r="AA73" s="3099"/>
      <c r="AB73" s="3099"/>
      <c r="AC73" s="2523"/>
      <c r="AD73" s="3098">
        <v>24</v>
      </c>
      <c r="AE73" s="3099"/>
      <c r="AF73" s="3099"/>
      <c r="AG73" s="3099"/>
      <c r="AH73" s="3099"/>
      <c r="AI73" s="3099"/>
      <c r="AJ73" s="2571"/>
      <c r="AK73" s="3098">
        <v>27</v>
      </c>
      <c r="AL73" s="3099"/>
      <c r="AM73" s="3099"/>
      <c r="AN73" s="3099"/>
      <c r="AO73" s="3099"/>
      <c r="AP73" s="3099"/>
      <c r="AQ73" s="2571"/>
      <c r="AR73" s="3098">
        <v>29</v>
      </c>
      <c r="AS73" s="3099"/>
      <c r="AT73" s="3099"/>
      <c r="AU73" s="3099"/>
      <c r="AV73" s="3099"/>
      <c r="AW73" s="3099"/>
      <c r="AZ73" s="264">
        <v>30</v>
      </c>
    </row>
    <row r="74" spans="1:57" ht="26.25" customHeight="1">
      <c r="A74" s="265"/>
      <c r="B74" s="265"/>
      <c r="C74" s="265"/>
      <c r="D74" s="265"/>
      <c r="E74" s="1332"/>
      <c r="F74" s="1601"/>
      <c r="G74" s="1332"/>
      <c r="H74" s="265"/>
      <c r="I74" s="265"/>
      <c r="J74" s="2478"/>
      <c r="K74" s="265"/>
      <c r="L74" s="265"/>
      <c r="M74" s="2498"/>
      <c r="N74" s="265"/>
      <c r="O74" s="2478"/>
      <c r="P74" s="265"/>
      <c r="Q74" s="2478"/>
      <c r="R74" s="265"/>
      <c r="S74" s="265"/>
      <c r="T74" s="2498"/>
      <c r="U74" s="265"/>
      <c r="V74" s="2478"/>
      <c r="W74" s="265"/>
      <c r="X74" s="2478"/>
      <c r="Y74" s="265"/>
      <c r="Z74" s="265"/>
      <c r="AA74" s="2498"/>
      <c r="AB74" s="265"/>
      <c r="AC74" s="2478"/>
      <c r="AD74" s="265"/>
      <c r="AE74" s="2478"/>
      <c r="AF74" s="265"/>
      <c r="AG74" s="265"/>
      <c r="AH74" s="2498"/>
      <c r="AI74" s="265"/>
      <c r="AJ74" s="2478"/>
      <c r="AK74" s="265"/>
      <c r="AL74" s="2478"/>
      <c r="AM74" s="265"/>
      <c r="AN74" s="265"/>
      <c r="AO74" s="2498"/>
      <c r="AP74" s="265"/>
      <c r="AQ74" s="2478"/>
      <c r="AR74" s="265"/>
      <c r="AS74" s="265"/>
      <c r="AT74" s="265"/>
      <c r="AU74" s="265"/>
      <c r="AV74" s="1601"/>
      <c r="AW74" s="265"/>
    </row>
    <row r="75" spans="1:57" ht="41.25" customHeight="1">
      <c r="A75" s="2682" t="s">
        <v>52</v>
      </c>
      <c r="B75" s="2683"/>
      <c r="C75" s="2684"/>
      <c r="D75" s="2684"/>
      <c r="E75" s="2685"/>
      <c r="F75" s="2686" t="str">
        <f>MENU!$AC$9</f>
        <v>Thứ 5,</v>
      </c>
      <c r="G75" s="2687"/>
      <c r="H75" s="2688"/>
      <c r="I75" s="2689" t="str">
        <f>MENU!$AD$9</f>
        <v>2024/08/01</v>
      </c>
      <c r="J75" s="2688"/>
      <c r="K75" s="2688"/>
      <c r="L75" s="2690"/>
      <c r="M75" s="2690"/>
      <c r="N75" s="2690"/>
      <c r="O75" s="2690"/>
      <c r="P75" s="2690"/>
      <c r="Q75" s="2690"/>
      <c r="R75" s="2690"/>
      <c r="S75" s="2690"/>
      <c r="T75" s="2690"/>
      <c r="U75" s="2688"/>
      <c r="V75" s="2688"/>
      <c r="W75" s="2688"/>
      <c r="X75" s="2688"/>
      <c r="Y75" s="2688"/>
      <c r="Z75" s="2688"/>
      <c r="AA75" s="2688"/>
      <c r="AB75" s="2688"/>
      <c r="AC75" s="2688"/>
      <c r="AD75" s="2688"/>
      <c r="AE75" s="2688"/>
      <c r="AF75" s="2688"/>
      <c r="AG75" s="2688"/>
      <c r="AH75" s="2688"/>
      <c r="AI75" s="2688"/>
      <c r="AJ75" s="2691"/>
      <c r="AK75" s="2683" t="s">
        <v>52</v>
      </c>
      <c r="AL75" s="2692"/>
      <c r="AM75" s="2692"/>
      <c r="AN75" s="2692"/>
      <c r="AO75" s="2692"/>
      <c r="AP75" s="2692"/>
      <c r="AQ75" s="2692"/>
      <c r="AR75" s="2692"/>
      <c r="AS75" s="2692"/>
      <c r="AT75" s="2692"/>
      <c r="AU75" s="2692"/>
      <c r="AV75" s="2692"/>
      <c r="AW75" s="2693"/>
    </row>
    <row r="76" spans="1:57" ht="36.75" customHeight="1">
      <c r="A76" s="991"/>
      <c r="B76" s="991"/>
      <c r="C76" s="991"/>
      <c r="D76" s="991"/>
      <c r="E76" s="1376"/>
      <c r="F76" s="1892"/>
      <c r="G76" s="3110" t="s">
        <v>124</v>
      </c>
      <c r="H76" s="82"/>
      <c r="I76" s="268" t="s">
        <v>1454</v>
      </c>
      <c r="J76" s="2458"/>
      <c r="K76" s="268"/>
      <c r="L76" s="268"/>
      <c r="M76" s="2458"/>
      <c r="N76" s="268"/>
      <c r="O76" s="2509"/>
      <c r="P76" s="281" t="s">
        <v>1444</v>
      </c>
      <c r="Q76" s="2458"/>
      <c r="R76" s="268"/>
      <c r="S76" s="268"/>
      <c r="T76" s="2458"/>
      <c r="U76" s="269"/>
      <c r="V76" s="2458"/>
      <c r="W76" s="268" t="s">
        <v>1445</v>
      </c>
      <c r="X76" s="2458"/>
      <c r="Y76" s="268"/>
      <c r="Z76" s="268"/>
      <c r="AA76" s="2458"/>
      <c r="AB76" s="268"/>
      <c r="AC76" s="2509"/>
      <c r="AD76" s="281" t="s">
        <v>1446</v>
      </c>
      <c r="AE76" s="2458"/>
      <c r="AF76" s="268"/>
      <c r="AG76" s="268"/>
      <c r="AH76" s="2458"/>
      <c r="AI76" s="269"/>
      <c r="AJ76" s="2458"/>
      <c r="AK76" s="268" t="s">
        <v>1447</v>
      </c>
      <c r="AL76" s="2458"/>
      <c r="AM76" s="268"/>
      <c r="AN76" s="268"/>
      <c r="AO76" s="2458"/>
      <c r="AP76" s="268"/>
      <c r="AQ76" s="2458"/>
      <c r="AR76" s="281" t="s">
        <v>1448</v>
      </c>
      <c r="AS76" s="268"/>
      <c r="AT76" s="268"/>
      <c r="AU76" s="269"/>
      <c r="AV76" s="269"/>
      <c r="AW76" s="1000"/>
      <c r="AZ76" s="264" t="s">
        <v>1448</v>
      </c>
    </row>
    <row r="77" spans="1:57" ht="63.75" customHeight="1">
      <c r="A77" s="992" t="s">
        <v>236</v>
      </c>
      <c r="B77" s="992" t="s">
        <v>315</v>
      </c>
      <c r="C77" s="998" t="s">
        <v>314</v>
      </c>
      <c r="D77" s="992" t="s">
        <v>123</v>
      </c>
      <c r="E77" s="1382" t="s">
        <v>1290</v>
      </c>
      <c r="F77" s="1893" t="s">
        <v>1289</v>
      </c>
      <c r="G77" s="3111"/>
      <c r="H77" s="20"/>
      <c r="I77" s="1871" t="s">
        <v>128</v>
      </c>
      <c r="J77" s="2459" t="s">
        <v>1</v>
      </c>
      <c r="K77" s="282" t="s">
        <v>1</v>
      </c>
      <c r="L77" s="282"/>
      <c r="M77" s="2470"/>
      <c r="N77" s="283"/>
      <c r="O77" s="2510"/>
      <c r="P77" s="1871" t="s">
        <v>128</v>
      </c>
      <c r="Q77" s="2459" t="s">
        <v>1</v>
      </c>
      <c r="R77" s="282" t="s">
        <v>1</v>
      </c>
      <c r="S77" s="282"/>
      <c r="T77" s="2470"/>
      <c r="U77" s="283"/>
      <c r="V77" s="2542"/>
      <c r="W77" s="1923" t="s">
        <v>128</v>
      </c>
      <c r="X77" s="2506" t="s">
        <v>1</v>
      </c>
      <c r="Y77" s="1924" t="s">
        <v>1</v>
      </c>
      <c r="Z77" s="1924"/>
      <c r="AA77" s="2507"/>
      <c r="AB77" s="1925"/>
      <c r="AC77" s="2510"/>
      <c r="AD77" s="1871" t="s">
        <v>128</v>
      </c>
      <c r="AE77" s="2459" t="s">
        <v>1</v>
      </c>
      <c r="AF77" s="282" t="s">
        <v>1</v>
      </c>
      <c r="AG77" s="282"/>
      <c r="AH77" s="2470"/>
      <c r="AI77" s="283"/>
      <c r="AJ77" s="2510"/>
      <c r="AK77" s="1871" t="s">
        <v>128</v>
      </c>
      <c r="AL77" s="2459" t="s">
        <v>1</v>
      </c>
      <c r="AM77" s="282" t="s">
        <v>1</v>
      </c>
      <c r="AN77" s="282"/>
      <c r="AO77" s="2470"/>
      <c r="AP77" s="283"/>
      <c r="AQ77" s="2510"/>
      <c r="AR77" s="1871" t="s">
        <v>128</v>
      </c>
      <c r="AS77" s="1870" t="s">
        <v>1</v>
      </c>
      <c r="AT77" s="282" t="s">
        <v>1</v>
      </c>
      <c r="AU77" s="282"/>
      <c r="AV77" s="282"/>
      <c r="AW77" s="283"/>
      <c r="AZ77" s="264" t="s">
        <v>128</v>
      </c>
      <c r="BA77" s="264" t="s">
        <v>1</v>
      </c>
      <c r="BB77" s="264" t="s">
        <v>1</v>
      </c>
    </row>
    <row r="78" spans="1:57" ht="33.75" customHeight="1">
      <c r="A78" s="1827" t="s">
        <v>283</v>
      </c>
      <c r="B78" s="1828" t="s">
        <v>126</v>
      </c>
      <c r="C78" s="1865" t="s">
        <v>1475</v>
      </c>
      <c r="D78" s="1829" t="s">
        <v>4</v>
      </c>
      <c r="E78" s="1830" t="str">
        <f>'XM.GUI MAIL'!E78</f>
        <v>40~60</v>
      </c>
      <c r="F78" s="1894" t="str">
        <f>'XM.GUI MAIL'!F78</f>
        <v>(50±5)</v>
      </c>
      <c r="G78" s="1831">
        <f>'XM.GUI MAIL'!G78</f>
        <v>50</v>
      </c>
      <c r="H78" s="1832">
        <f>XM.HN!B47</f>
        <v>7.4</v>
      </c>
      <c r="I78" s="1922">
        <f>H78*6.49</f>
        <v>48.026000000000003</v>
      </c>
      <c r="J78" s="2460">
        <f>($G$78-I78)*15517/1000</f>
        <v>30.630557999999947</v>
      </c>
      <c r="K78" s="1835" t="s">
        <v>8</v>
      </c>
      <c r="L78" s="1836">
        <f t="shared" ref="L78:L88" si="17">IF(J78&lt;0,0,J78)</f>
        <v>30.630557999999947</v>
      </c>
      <c r="M78" s="2486"/>
      <c r="N78" s="1838" t="s">
        <v>9</v>
      </c>
      <c r="O78" s="2511">
        <f>XM.HN!C47</f>
        <v>7.85</v>
      </c>
      <c r="P78" s="1922">
        <f>O78*6.49</f>
        <v>50.9465</v>
      </c>
      <c r="Q78" s="2460">
        <f>($G$78-P78)*15517/1000</f>
        <v>-14.686840500000006</v>
      </c>
      <c r="R78" s="1835" t="s">
        <v>8</v>
      </c>
      <c r="S78" s="1836">
        <f t="shared" ref="S78:S84" si="18">IF(Q78&lt;0,0,Q78)</f>
        <v>0</v>
      </c>
      <c r="T78" s="2486"/>
      <c r="U78" s="1838" t="s">
        <v>9</v>
      </c>
      <c r="V78" s="2511">
        <f>XM.HN!D47</f>
        <v>7.9</v>
      </c>
      <c r="W78" s="1922">
        <f>V78*6.49</f>
        <v>51.271000000000001</v>
      </c>
      <c r="X78" s="2461">
        <f>($G$78-W78)*15517/1000</f>
        <v>-19.722107000000012</v>
      </c>
      <c r="Y78" s="1847" t="s">
        <v>8</v>
      </c>
      <c r="Z78" s="1926">
        <f t="shared" ref="Z78:Z84" si="19">IF(X78&lt;0,0,X78)</f>
        <v>0</v>
      </c>
      <c r="AA78" s="2487"/>
      <c r="AB78" s="1927" t="s">
        <v>9</v>
      </c>
      <c r="AC78" s="2511">
        <f>XM.HN!E47</f>
        <v>0</v>
      </c>
      <c r="AD78" s="1922">
        <f>AC78*6.49</f>
        <v>0</v>
      </c>
      <c r="AE78" s="2460">
        <f>($G$78-AD78)*15517/1000</f>
        <v>775.85</v>
      </c>
      <c r="AF78" s="1835" t="s">
        <v>8</v>
      </c>
      <c r="AG78" s="1836">
        <f t="shared" ref="AG78:AG84" si="20">IF(AE78&lt;0,0,AE78)</f>
        <v>775.85</v>
      </c>
      <c r="AH78" s="2486"/>
      <c r="AI78" s="1838" t="s">
        <v>9</v>
      </c>
      <c r="AJ78" s="2511">
        <f>XM.HN!F47</f>
        <v>0</v>
      </c>
      <c r="AK78" s="1922">
        <f>AJ78*6.49</f>
        <v>0</v>
      </c>
      <c r="AL78" s="2460">
        <f>($G$78-AK78)*15517/1000</f>
        <v>775.85</v>
      </c>
      <c r="AM78" s="1835" t="s">
        <v>8</v>
      </c>
      <c r="AN78" s="1836">
        <f t="shared" ref="AN78:AN84" si="21">IF(AL78&lt;0,0,AL78)</f>
        <v>775.85</v>
      </c>
      <c r="AO78" s="2486"/>
      <c r="AP78" s="1838" t="s">
        <v>9</v>
      </c>
      <c r="AQ78" s="2511">
        <f>XM.HN!G47</f>
        <v>0</v>
      </c>
      <c r="AR78" s="1922">
        <f>AQ78*6.49</f>
        <v>0</v>
      </c>
      <c r="AS78" s="1834">
        <f>($G$78-AR78)*15517/1000</f>
        <v>775.85</v>
      </c>
      <c r="AT78" s="1835" t="s">
        <v>8</v>
      </c>
      <c r="AU78" s="1836">
        <f t="shared" ref="AU78:AU84" si="22">IF(AS78&lt;0,0,AS78)</f>
        <v>775.85</v>
      </c>
      <c r="AV78" s="1837"/>
      <c r="AW78" s="1838" t="s">
        <v>9</v>
      </c>
      <c r="AZ78" s="1922">
        <v>49.323999999999998</v>
      </c>
      <c r="BA78" s="264">
        <v>10.489492000000029</v>
      </c>
      <c r="BB78" s="264" t="s">
        <v>8</v>
      </c>
      <c r="BC78" s="264">
        <v>10.489492000000029</v>
      </c>
      <c r="BE78" s="264" t="s">
        <v>9</v>
      </c>
    </row>
    <row r="79" spans="1:57" ht="33.75" customHeight="1">
      <c r="A79" s="1850"/>
      <c r="B79" s="1851"/>
      <c r="C79" s="1864" t="s">
        <v>230</v>
      </c>
      <c r="D79" s="1853"/>
      <c r="E79" s="1854" t="s">
        <v>1479</v>
      </c>
      <c r="F79" s="1895"/>
      <c r="G79" s="1855"/>
      <c r="H79" s="1856"/>
      <c r="I79" s="1875"/>
      <c r="J79" s="2462"/>
      <c r="K79" s="1858" t="s">
        <v>8</v>
      </c>
      <c r="L79" s="1862">
        <f>L78/25*8.5</f>
        <v>10.414389719999981</v>
      </c>
      <c r="M79" s="2488"/>
      <c r="N79" s="1860" t="s">
        <v>10</v>
      </c>
      <c r="O79" s="2513"/>
      <c r="P79" s="1875"/>
      <c r="Q79" s="2462"/>
      <c r="R79" s="1858" t="s">
        <v>8</v>
      </c>
      <c r="S79" s="1862">
        <f>S78/25*8.5</f>
        <v>0</v>
      </c>
      <c r="T79" s="2488"/>
      <c r="U79" s="1860" t="s">
        <v>10</v>
      </c>
      <c r="V79" s="2513"/>
      <c r="W79" s="1875"/>
      <c r="X79" s="2462"/>
      <c r="Y79" s="1858" t="s">
        <v>8</v>
      </c>
      <c r="Z79" s="1862">
        <f>Z78/25*8.5</f>
        <v>0</v>
      </c>
      <c r="AA79" s="2488"/>
      <c r="AB79" s="1860" t="s">
        <v>10</v>
      </c>
      <c r="AC79" s="2513"/>
      <c r="AD79" s="1875"/>
      <c r="AE79" s="2462"/>
      <c r="AF79" s="1858" t="s">
        <v>8</v>
      </c>
      <c r="AG79" s="1862">
        <f>AG78/25*8.5</f>
        <v>263.78900000000004</v>
      </c>
      <c r="AH79" s="2488"/>
      <c r="AI79" s="1860" t="s">
        <v>10</v>
      </c>
      <c r="AJ79" s="2513"/>
      <c r="AK79" s="1875"/>
      <c r="AL79" s="2462"/>
      <c r="AM79" s="1858" t="s">
        <v>8</v>
      </c>
      <c r="AN79" s="1862">
        <f>AN78/25*8.5</f>
        <v>263.78900000000004</v>
      </c>
      <c r="AO79" s="2488"/>
      <c r="AP79" s="1860" t="s">
        <v>10</v>
      </c>
      <c r="AQ79" s="2513"/>
      <c r="AR79" s="1875"/>
      <c r="AS79" s="1857"/>
      <c r="AT79" s="1858" t="s">
        <v>8</v>
      </c>
      <c r="AU79" s="1862">
        <f>AU78/25*8.5</f>
        <v>263.78900000000004</v>
      </c>
      <c r="AV79" s="1859"/>
      <c r="AW79" s="1860" t="s">
        <v>10</v>
      </c>
      <c r="AZ79" s="1875"/>
      <c r="BB79" s="264" t="s">
        <v>8</v>
      </c>
      <c r="BC79" s="264">
        <v>3.5664272800000094</v>
      </c>
      <c r="BE79" s="264" t="s">
        <v>10</v>
      </c>
    </row>
    <row r="80" spans="1:57" ht="33.75" customHeight="1">
      <c r="A80" s="1827" t="s">
        <v>284</v>
      </c>
      <c r="B80" s="1828" t="s">
        <v>126</v>
      </c>
      <c r="C80" s="1865" t="s">
        <v>1476</v>
      </c>
      <c r="D80" s="1829" t="s">
        <v>4</v>
      </c>
      <c r="E80" s="1830" t="str">
        <f>'XM.GUI MAIL'!E80</f>
        <v>40~60</v>
      </c>
      <c r="F80" s="1894" t="str">
        <f>'XM.GUI MAIL'!F80</f>
        <v>(50±5)</v>
      </c>
      <c r="G80" s="1831">
        <f>'XM.GUI MAIL'!G80</f>
        <v>50</v>
      </c>
      <c r="H80" s="1832">
        <f>XM.HN!B49</f>
        <v>7.65</v>
      </c>
      <c r="I80" s="1922">
        <f>H80*6.49</f>
        <v>49.648500000000006</v>
      </c>
      <c r="J80" s="2460">
        <f>($G$80-I80)*11475/1000</f>
        <v>4.0334624999999358</v>
      </c>
      <c r="K80" s="1835" t="s">
        <v>8</v>
      </c>
      <c r="L80" s="1836">
        <f t="shared" si="17"/>
        <v>4.0334624999999358</v>
      </c>
      <c r="M80" s="2486"/>
      <c r="N80" s="1838" t="s">
        <v>9</v>
      </c>
      <c r="O80" s="2511">
        <f>XM.HN!C49</f>
        <v>7.75</v>
      </c>
      <c r="P80" s="1922">
        <f>O80*6.49</f>
        <v>50.297499999999999</v>
      </c>
      <c r="Q80" s="2460">
        <f>($G$80-P80)*11475/1000</f>
        <v>-3.4138124999999935</v>
      </c>
      <c r="R80" s="1835" t="s">
        <v>8</v>
      </c>
      <c r="S80" s="1836">
        <f t="shared" si="18"/>
        <v>0</v>
      </c>
      <c r="T80" s="2486"/>
      <c r="U80" s="1838" t="s">
        <v>9</v>
      </c>
      <c r="V80" s="2511">
        <f>XM.HN!D49</f>
        <v>7.75</v>
      </c>
      <c r="W80" s="1922">
        <f>V80*6.49</f>
        <v>50.297499999999999</v>
      </c>
      <c r="X80" s="2460">
        <f>($G$80-W80)*11475/1000</f>
        <v>-3.4138124999999935</v>
      </c>
      <c r="Y80" s="1835" t="s">
        <v>8</v>
      </c>
      <c r="Z80" s="1836">
        <f t="shared" si="19"/>
        <v>0</v>
      </c>
      <c r="AA80" s="2486"/>
      <c r="AB80" s="1838" t="s">
        <v>9</v>
      </c>
      <c r="AC80" s="2511">
        <f>XM.HN!E49</f>
        <v>0</v>
      </c>
      <c r="AD80" s="1922">
        <f>AC80*6.49</f>
        <v>0</v>
      </c>
      <c r="AE80" s="2460">
        <f>($G$80-AD80)*11475/1000</f>
        <v>573.75</v>
      </c>
      <c r="AF80" s="1835" t="s">
        <v>8</v>
      </c>
      <c r="AG80" s="1836">
        <f t="shared" si="20"/>
        <v>573.75</v>
      </c>
      <c r="AH80" s="2486"/>
      <c r="AI80" s="1838" t="s">
        <v>9</v>
      </c>
      <c r="AJ80" s="2511">
        <f>XM.HN!F49</f>
        <v>0</v>
      </c>
      <c r="AK80" s="1922">
        <f>AJ80*6.49</f>
        <v>0</v>
      </c>
      <c r="AL80" s="2460">
        <f>($G$80-AK80)*11475/1000</f>
        <v>573.75</v>
      </c>
      <c r="AM80" s="1835" t="s">
        <v>8</v>
      </c>
      <c r="AN80" s="1836">
        <f t="shared" si="21"/>
        <v>573.75</v>
      </c>
      <c r="AO80" s="2486"/>
      <c r="AP80" s="1838" t="s">
        <v>9</v>
      </c>
      <c r="AQ80" s="2511">
        <f>XM.HN!G49</f>
        <v>0</v>
      </c>
      <c r="AR80" s="1922">
        <f>AQ80*6.49</f>
        <v>0</v>
      </c>
      <c r="AS80" s="1834">
        <f>($G$80-AR80)*11475/1000</f>
        <v>573.75</v>
      </c>
      <c r="AT80" s="1835" t="s">
        <v>8</v>
      </c>
      <c r="AU80" s="1836">
        <f t="shared" si="22"/>
        <v>573.75</v>
      </c>
      <c r="AV80" s="1837"/>
      <c r="AW80" s="1838" t="s">
        <v>9</v>
      </c>
      <c r="AZ80" s="1922">
        <v>50.622</v>
      </c>
      <c r="BA80" s="264">
        <v>-7.1374499999999985</v>
      </c>
      <c r="BB80" s="264" t="s">
        <v>8</v>
      </c>
      <c r="BC80" s="264">
        <v>0</v>
      </c>
      <c r="BE80" s="264" t="s">
        <v>9</v>
      </c>
    </row>
    <row r="81" spans="1:57" ht="33.75" customHeight="1">
      <c r="A81" s="1850"/>
      <c r="B81" s="1851"/>
      <c r="C81" s="1864" t="s">
        <v>230</v>
      </c>
      <c r="D81" s="1853"/>
      <c r="E81" s="1854" t="s">
        <v>1479</v>
      </c>
      <c r="F81" s="1895"/>
      <c r="G81" s="1855"/>
      <c r="H81" s="1856"/>
      <c r="I81" s="1875"/>
      <c r="J81" s="2462"/>
      <c r="K81" s="1858" t="s">
        <v>8</v>
      </c>
      <c r="L81" s="1862">
        <f>L80/25*8.5</f>
        <v>1.3713772499999783</v>
      </c>
      <c r="M81" s="2488"/>
      <c r="N81" s="1860" t="s">
        <v>10</v>
      </c>
      <c r="O81" s="2513"/>
      <c r="P81" s="1875"/>
      <c r="Q81" s="2462"/>
      <c r="R81" s="1858" t="s">
        <v>8</v>
      </c>
      <c r="S81" s="1862">
        <f>S80/25*8.5</f>
        <v>0</v>
      </c>
      <c r="T81" s="2488"/>
      <c r="U81" s="1860" t="s">
        <v>10</v>
      </c>
      <c r="V81" s="2513"/>
      <c r="W81" s="1875"/>
      <c r="X81" s="2462"/>
      <c r="Y81" s="1858" t="s">
        <v>8</v>
      </c>
      <c r="Z81" s="1862">
        <f>Z80/25*8.5</f>
        <v>0</v>
      </c>
      <c r="AA81" s="2488"/>
      <c r="AB81" s="1860" t="s">
        <v>10</v>
      </c>
      <c r="AC81" s="2513"/>
      <c r="AD81" s="1875"/>
      <c r="AE81" s="2462"/>
      <c r="AF81" s="1858" t="s">
        <v>8</v>
      </c>
      <c r="AG81" s="1862">
        <f>AG80/25*8.5</f>
        <v>195.07499999999999</v>
      </c>
      <c r="AH81" s="2488"/>
      <c r="AI81" s="1860" t="s">
        <v>10</v>
      </c>
      <c r="AJ81" s="2513"/>
      <c r="AK81" s="1875"/>
      <c r="AL81" s="2462"/>
      <c r="AM81" s="1858" t="s">
        <v>8</v>
      </c>
      <c r="AN81" s="1862">
        <f>AN80/25*8.5</f>
        <v>195.07499999999999</v>
      </c>
      <c r="AO81" s="2488"/>
      <c r="AP81" s="1860" t="s">
        <v>10</v>
      </c>
      <c r="AQ81" s="2513"/>
      <c r="AR81" s="1875"/>
      <c r="AS81" s="1857"/>
      <c r="AT81" s="1858" t="s">
        <v>8</v>
      </c>
      <c r="AU81" s="1862">
        <f>AU80/25*8.5</f>
        <v>195.07499999999999</v>
      </c>
      <c r="AV81" s="1859"/>
      <c r="AW81" s="1860" t="s">
        <v>10</v>
      </c>
      <c r="AZ81" s="1875"/>
      <c r="BB81" s="264" t="s">
        <v>8</v>
      </c>
      <c r="BC81" s="264">
        <v>0</v>
      </c>
      <c r="BE81" s="264" t="s">
        <v>10</v>
      </c>
    </row>
    <row r="82" spans="1:57" ht="33.75" customHeight="1">
      <c r="A82" s="1827" t="s">
        <v>285</v>
      </c>
      <c r="B82" s="1828" t="s">
        <v>126</v>
      </c>
      <c r="C82" s="1865" t="s">
        <v>1477</v>
      </c>
      <c r="D82" s="1829" t="s">
        <v>4</v>
      </c>
      <c r="E82" s="1830" t="str">
        <f>'XM.GUI MAIL'!E82</f>
        <v>50~70</v>
      </c>
      <c r="F82" s="1894" t="str">
        <f>'XM.GUI MAIL'!F82</f>
        <v>(60±5)</v>
      </c>
      <c r="G82" s="1831">
        <f>'XM.GUI MAIL'!G82</f>
        <v>60</v>
      </c>
      <c r="H82" s="1832">
        <f>XM.HN!B51</f>
        <v>13.3</v>
      </c>
      <c r="I82" s="1922">
        <f>H82*4.62</f>
        <v>61.446000000000005</v>
      </c>
      <c r="J82" s="2460">
        <f>($G$82-I82)*8200/1000</f>
        <v>-11.857200000000041</v>
      </c>
      <c r="K82" s="1835" t="s">
        <v>8</v>
      </c>
      <c r="L82" s="1836">
        <f t="shared" si="17"/>
        <v>0</v>
      </c>
      <c r="M82" s="2486"/>
      <c r="N82" s="1838" t="s">
        <v>9</v>
      </c>
      <c r="O82" s="2511">
        <f>XM.HN!C51</f>
        <v>13.4</v>
      </c>
      <c r="P82" s="1922">
        <f>O82*4.62</f>
        <v>61.908000000000001</v>
      </c>
      <c r="Q82" s="2460">
        <f>($G$82-P82)*8200/1000</f>
        <v>-15.645600000000009</v>
      </c>
      <c r="R82" s="1835" t="s">
        <v>8</v>
      </c>
      <c r="S82" s="1836">
        <f t="shared" si="18"/>
        <v>0</v>
      </c>
      <c r="T82" s="2486"/>
      <c r="U82" s="1838" t="s">
        <v>9</v>
      </c>
      <c r="V82" s="2511">
        <f>XM.HN!D51</f>
        <v>13.5</v>
      </c>
      <c r="W82" s="1922">
        <f>V82*4.62</f>
        <v>62.370000000000005</v>
      </c>
      <c r="X82" s="2460">
        <f>($G$82-W82)*8200/1000</f>
        <v>-19.434000000000037</v>
      </c>
      <c r="Y82" s="1835" t="s">
        <v>8</v>
      </c>
      <c r="Z82" s="1836">
        <f t="shared" si="19"/>
        <v>0</v>
      </c>
      <c r="AA82" s="2486"/>
      <c r="AB82" s="1838" t="s">
        <v>9</v>
      </c>
      <c r="AC82" s="2511">
        <f>XM.HN!E51</f>
        <v>0</v>
      </c>
      <c r="AD82" s="1922">
        <f>AC82*4.62</f>
        <v>0</v>
      </c>
      <c r="AE82" s="2460">
        <f>($G$82-AD82)*8200/1000</f>
        <v>492</v>
      </c>
      <c r="AF82" s="1835" t="s">
        <v>8</v>
      </c>
      <c r="AG82" s="1836">
        <f t="shared" si="20"/>
        <v>492</v>
      </c>
      <c r="AH82" s="2486"/>
      <c r="AI82" s="1838" t="s">
        <v>9</v>
      </c>
      <c r="AJ82" s="2511">
        <f>XM.HN!F51</f>
        <v>0</v>
      </c>
      <c r="AK82" s="1922">
        <f>AJ82*4.62</f>
        <v>0</v>
      </c>
      <c r="AL82" s="2460">
        <f>($G$82-AK82)*8200/1000</f>
        <v>492</v>
      </c>
      <c r="AM82" s="1835" t="s">
        <v>8</v>
      </c>
      <c r="AN82" s="1836">
        <f t="shared" si="21"/>
        <v>492</v>
      </c>
      <c r="AO82" s="2486"/>
      <c r="AP82" s="1838" t="s">
        <v>9</v>
      </c>
      <c r="AQ82" s="2511">
        <f>XM.HN!G51</f>
        <v>0</v>
      </c>
      <c r="AR82" s="1922">
        <f>AQ82*4.62</f>
        <v>0</v>
      </c>
      <c r="AS82" s="1834">
        <f>($G$82-AR82)*8200/1000</f>
        <v>492</v>
      </c>
      <c r="AT82" s="1835" t="s">
        <v>8</v>
      </c>
      <c r="AU82" s="1836">
        <f t="shared" si="22"/>
        <v>492</v>
      </c>
      <c r="AV82" s="1837"/>
      <c r="AW82" s="1838" t="s">
        <v>9</v>
      </c>
      <c r="AZ82" s="1922">
        <v>61.5</v>
      </c>
      <c r="BA82" s="264">
        <v>-12.3</v>
      </c>
      <c r="BB82" s="264" t="s">
        <v>8</v>
      </c>
      <c r="BC82" s="264">
        <v>0</v>
      </c>
      <c r="BE82" s="264" t="s">
        <v>9</v>
      </c>
    </row>
    <row r="83" spans="1:57" ht="33.75" customHeight="1">
      <c r="A83" s="1850"/>
      <c r="B83" s="1851"/>
      <c r="C83" s="1864" t="s">
        <v>232</v>
      </c>
      <c r="D83" s="1853"/>
      <c r="E83" s="1854" t="s">
        <v>1261</v>
      </c>
      <c r="F83" s="1895"/>
      <c r="G83" s="1855"/>
      <c r="H83" s="1856"/>
      <c r="I83" s="1875"/>
      <c r="J83" s="2462"/>
      <c r="K83" s="1858" t="s">
        <v>8</v>
      </c>
      <c r="L83" s="1862"/>
      <c r="M83" s="2488"/>
      <c r="N83" s="1860" t="s">
        <v>10</v>
      </c>
      <c r="O83" s="2513"/>
      <c r="P83" s="1875"/>
      <c r="Q83" s="2462"/>
      <c r="R83" s="1858" t="s">
        <v>8</v>
      </c>
      <c r="S83" s="1862"/>
      <c r="T83" s="2488"/>
      <c r="U83" s="1860" t="s">
        <v>10</v>
      </c>
      <c r="V83" s="2513"/>
      <c r="W83" s="1875"/>
      <c r="X83" s="2462"/>
      <c r="Y83" s="1858" t="s">
        <v>8</v>
      </c>
      <c r="Z83" s="1862"/>
      <c r="AA83" s="2488"/>
      <c r="AB83" s="1860" t="s">
        <v>10</v>
      </c>
      <c r="AC83" s="2513"/>
      <c r="AD83" s="1875"/>
      <c r="AE83" s="2462"/>
      <c r="AF83" s="1858" t="s">
        <v>8</v>
      </c>
      <c r="AG83" s="1862"/>
      <c r="AH83" s="2488"/>
      <c r="AI83" s="1860" t="s">
        <v>10</v>
      </c>
      <c r="AJ83" s="2513"/>
      <c r="AK83" s="1875"/>
      <c r="AL83" s="2462"/>
      <c r="AM83" s="1858" t="s">
        <v>8</v>
      </c>
      <c r="AN83" s="1862"/>
      <c r="AO83" s="2488"/>
      <c r="AP83" s="1860" t="s">
        <v>10</v>
      </c>
      <c r="AQ83" s="2513"/>
      <c r="AR83" s="1875"/>
      <c r="AS83" s="1857"/>
      <c r="AT83" s="1858" t="s">
        <v>8</v>
      </c>
      <c r="AU83" s="1862"/>
      <c r="AV83" s="1859"/>
      <c r="AW83" s="1860" t="s">
        <v>10</v>
      </c>
      <c r="AZ83" s="1875"/>
      <c r="BB83" s="264" t="s">
        <v>8</v>
      </c>
      <c r="BE83" s="264" t="s">
        <v>10</v>
      </c>
    </row>
    <row r="84" spans="1:57" ht="33.75" customHeight="1">
      <c r="A84" s="1827" t="s">
        <v>286</v>
      </c>
      <c r="B84" s="1828" t="s">
        <v>126</v>
      </c>
      <c r="C84" s="1865" t="s">
        <v>1478</v>
      </c>
      <c r="D84" s="1829" t="s">
        <v>4</v>
      </c>
      <c r="E84" s="1830" t="str">
        <f>'XM.GUI MAIL'!E84</f>
        <v>50~70</v>
      </c>
      <c r="F84" s="1894" t="str">
        <f>'XM.GUI MAIL'!F84</f>
        <v>(60±5)</v>
      </c>
      <c r="G84" s="1831">
        <f>'XM.GUI MAIL'!G84</f>
        <v>60</v>
      </c>
      <c r="H84" s="1832">
        <f>XM.HN!B53</f>
        <v>12.9</v>
      </c>
      <c r="I84" s="1922">
        <f>H84*4.62</f>
        <v>59.598000000000006</v>
      </c>
      <c r="J84" s="2460">
        <f>($G$84-I84)*8668/1000</f>
        <v>3.4845359999999475</v>
      </c>
      <c r="K84" s="1835" t="s">
        <v>8</v>
      </c>
      <c r="L84" s="1836">
        <f t="shared" si="17"/>
        <v>3.4845359999999475</v>
      </c>
      <c r="M84" s="2486"/>
      <c r="N84" s="1838" t="s">
        <v>9</v>
      </c>
      <c r="O84" s="2511">
        <f>XM.HN!C53</f>
        <v>13.15</v>
      </c>
      <c r="P84" s="1922">
        <f>O84*4.62</f>
        <v>60.753</v>
      </c>
      <c r="Q84" s="2460">
        <f>($G$84-P84)*8668/1000</f>
        <v>-6.5270040000000007</v>
      </c>
      <c r="R84" s="1835" t="s">
        <v>8</v>
      </c>
      <c r="S84" s="1836">
        <f t="shared" si="18"/>
        <v>0</v>
      </c>
      <c r="T84" s="2486"/>
      <c r="U84" s="1838" t="s">
        <v>9</v>
      </c>
      <c r="V84" s="2511">
        <f>XM.HN!D53</f>
        <v>13.25</v>
      </c>
      <c r="W84" s="1922">
        <f>V84*4.62</f>
        <v>61.215000000000003</v>
      </c>
      <c r="X84" s="2460">
        <f>($G$84-W84)*8668/1000</f>
        <v>-10.53162000000003</v>
      </c>
      <c r="Y84" s="1835" t="s">
        <v>8</v>
      </c>
      <c r="Z84" s="1836">
        <f t="shared" si="19"/>
        <v>0</v>
      </c>
      <c r="AA84" s="2486"/>
      <c r="AB84" s="1838" t="s">
        <v>9</v>
      </c>
      <c r="AC84" s="2511">
        <f>XM.HN!E53</f>
        <v>0</v>
      </c>
      <c r="AD84" s="1922">
        <f>AC84*4.62</f>
        <v>0</v>
      </c>
      <c r="AE84" s="2460">
        <f>($G$84-AD84)*8668/1000</f>
        <v>520.08000000000004</v>
      </c>
      <c r="AF84" s="1835" t="s">
        <v>8</v>
      </c>
      <c r="AG84" s="1836">
        <f t="shared" si="20"/>
        <v>520.08000000000004</v>
      </c>
      <c r="AH84" s="2486"/>
      <c r="AI84" s="1838" t="s">
        <v>9</v>
      </c>
      <c r="AJ84" s="2511">
        <f>XM.HN!F53</f>
        <v>0</v>
      </c>
      <c r="AK84" s="1922">
        <f>AJ84*4.62</f>
        <v>0</v>
      </c>
      <c r="AL84" s="2460">
        <f>($G$84-AK84)*8668/1000</f>
        <v>520.08000000000004</v>
      </c>
      <c r="AM84" s="1835" t="s">
        <v>8</v>
      </c>
      <c r="AN84" s="1836">
        <f t="shared" si="21"/>
        <v>520.08000000000004</v>
      </c>
      <c r="AO84" s="2486"/>
      <c r="AP84" s="1838" t="s">
        <v>9</v>
      </c>
      <c r="AQ84" s="2511">
        <f>XM.HN!G53</f>
        <v>0</v>
      </c>
      <c r="AR84" s="1922">
        <f>AQ84*4.62</f>
        <v>0</v>
      </c>
      <c r="AS84" s="1834">
        <f>($G$84-AR84)*8668/1000</f>
        <v>520.08000000000004</v>
      </c>
      <c r="AT84" s="1835" t="s">
        <v>8</v>
      </c>
      <c r="AU84" s="1836">
        <f t="shared" si="22"/>
        <v>520.08000000000004</v>
      </c>
      <c r="AV84" s="1837"/>
      <c r="AW84" s="1838" t="s">
        <v>9</v>
      </c>
      <c r="AZ84" s="1922">
        <v>62</v>
      </c>
      <c r="BA84" s="264">
        <v>-17.335999999999999</v>
      </c>
      <c r="BB84" s="264" t="s">
        <v>8</v>
      </c>
      <c r="BC84" s="264">
        <v>0</v>
      </c>
      <c r="BE84" s="264" t="s">
        <v>9</v>
      </c>
    </row>
    <row r="85" spans="1:57" ht="33.75" customHeight="1">
      <c r="A85" s="1850"/>
      <c r="B85" s="1851"/>
      <c r="C85" s="1864" t="s">
        <v>232</v>
      </c>
      <c r="D85" s="1853"/>
      <c r="E85" s="1854" t="s">
        <v>1261</v>
      </c>
      <c r="F85" s="1895"/>
      <c r="G85" s="1855"/>
      <c r="H85" s="1856"/>
      <c r="I85" s="1875"/>
      <c r="J85" s="2462"/>
      <c r="K85" s="1858" t="s">
        <v>8</v>
      </c>
      <c r="L85" s="1862"/>
      <c r="M85" s="2488"/>
      <c r="N85" s="1860" t="s">
        <v>10</v>
      </c>
      <c r="O85" s="2513"/>
      <c r="P85" s="1875"/>
      <c r="Q85" s="2462"/>
      <c r="R85" s="1858" t="s">
        <v>8</v>
      </c>
      <c r="S85" s="1862"/>
      <c r="T85" s="2488"/>
      <c r="U85" s="1860" t="s">
        <v>10</v>
      </c>
      <c r="V85" s="2513"/>
      <c r="W85" s="1875"/>
      <c r="X85" s="2462"/>
      <c r="Y85" s="1858" t="s">
        <v>8</v>
      </c>
      <c r="Z85" s="1862"/>
      <c r="AA85" s="2488"/>
      <c r="AB85" s="1860" t="s">
        <v>10</v>
      </c>
      <c r="AC85" s="2513"/>
      <c r="AD85" s="1875"/>
      <c r="AE85" s="2462"/>
      <c r="AF85" s="1858" t="s">
        <v>8</v>
      </c>
      <c r="AG85" s="1862"/>
      <c r="AH85" s="2488"/>
      <c r="AI85" s="1860" t="s">
        <v>10</v>
      </c>
      <c r="AJ85" s="2513"/>
      <c r="AK85" s="1875"/>
      <c r="AL85" s="2462"/>
      <c r="AM85" s="1858" t="s">
        <v>8</v>
      </c>
      <c r="AN85" s="1862"/>
      <c r="AO85" s="2488"/>
      <c r="AP85" s="1860" t="s">
        <v>10</v>
      </c>
      <c r="AQ85" s="2513"/>
      <c r="AR85" s="1875"/>
      <c r="AS85" s="1857"/>
      <c r="AT85" s="1858" t="s">
        <v>8</v>
      </c>
      <c r="AU85" s="1862"/>
      <c r="AV85" s="1859"/>
      <c r="AW85" s="1860" t="s">
        <v>10</v>
      </c>
      <c r="AZ85" s="1875"/>
      <c r="BB85" s="264" t="s">
        <v>8</v>
      </c>
      <c r="BE85" s="264" t="s">
        <v>10</v>
      </c>
    </row>
    <row r="86" spans="1:57" ht="33.75" customHeight="1">
      <c r="A86" s="993" t="s">
        <v>287</v>
      </c>
      <c r="B86" s="993" t="s">
        <v>126</v>
      </c>
      <c r="C86" s="101" t="s">
        <v>1665</v>
      </c>
      <c r="D86" s="44" t="s">
        <v>4</v>
      </c>
      <c r="E86" s="13" t="str">
        <f>'XM.GUI MAIL'!E86</f>
        <v>135~ 145</v>
      </c>
      <c r="F86" s="1896" t="str">
        <f>'XM.GUI MAIL'!F86</f>
        <v>(140±5)</v>
      </c>
      <c r="G86" s="1065">
        <f>'XM.GUI MAIL'!G86</f>
        <v>140</v>
      </c>
      <c r="H86" s="87">
        <f>XM.HN!B55</f>
        <v>17.8</v>
      </c>
      <c r="I86" s="1745">
        <f>H86*8</f>
        <v>142.4</v>
      </c>
      <c r="J86" s="2465">
        <f>($G$86-I86)*53066/1000</f>
        <v>-127.3584000000003</v>
      </c>
      <c r="K86" s="1738" t="s">
        <v>8</v>
      </c>
      <c r="L86" s="1739">
        <f t="shared" si="17"/>
        <v>0</v>
      </c>
      <c r="M86" s="2490"/>
      <c r="N86" s="1872" t="s">
        <v>9</v>
      </c>
      <c r="O86" s="2531">
        <f>XM.HN!C55</f>
        <v>17.899999999999999</v>
      </c>
      <c r="P86" s="1745">
        <f>O86*8</f>
        <v>143.19999999999999</v>
      </c>
      <c r="Q86" s="2465">
        <f>($G$86-P86)*53066/1000</f>
        <v>-169.81119999999939</v>
      </c>
      <c r="R86" s="1738" t="s">
        <v>8</v>
      </c>
      <c r="S86" s="1739">
        <f t="shared" ref="S86:S88" si="23">IF(Q86&lt;0,0,Q86)</f>
        <v>0</v>
      </c>
      <c r="T86" s="2490"/>
      <c r="U86" s="1740" t="s">
        <v>9</v>
      </c>
      <c r="V86" s="2552">
        <f>XM.HN!D55</f>
        <v>17.350000000000001</v>
      </c>
      <c r="W86" s="1745">
        <f>V86*8</f>
        <v>138.80000000000001</v>
      </c>
      <c r="X86" s="2465">
        <f>($G$86-W86)*53066/1000</f>
        <v>63.679199999999391</v>
      </c>
      <c r="Y86" s="1738" t="s">
        <v>8</v>
      </c>
      <c r="Z86" s="1739">
        <f t="shared" ref="Z86:Z88" si="24">IF(X86&lt;0,0,X86)</f>
        <v>63.679199999999391</v>
      </c>
      <c r="AA86" s="2490"/>
      <c r="AB86" s="1740" t="s">
        <v>9</v>
      </c>
      <c r="AC86" s="2510">
        <f>XM.HN!E55</f>
        <v>0</v>
      </c>
      <c r="AD86" s="1745">
        <f>AC86*8</f>
        <v>0</v>
      </c>
      <c r="AE86" s="2465">
        <f>($G$86-AD86)*53066/1000</f>
        <v>7429.24</v>
      </c>
      <c r="AF86" s="1738" t="s">
        <v>8</v>
      </c>
      <c r="AG86" s="1739">
        <f t="shared" ref="AG86:AG88" si="25">IF(AE86&lt;0,0,AE86)</f>
        <v>7429.24</v>
      </c>
      <c r="AH86" s="2490"/>
      <c r="AI86" s="1740" t="s">
        <v>9</v>
      </c>
      <c r="AJ86" s="2510">
        <f>XM.HN!F55</f>
        <v>0</v>
      </c>
      <c r="AK86" s="1745">
        <f>AJ86*8</f>
        <v>0</v>
      </c>
      <c r="AL86" s="2465">
        <f>($G$86-AK86)*53066/1000</f>
        <v>7429.24</v>
      </c>
      <c r="AM86" s="1738" t="s">
        <v>8</v>
      </c>
      <c r="AN86" s="1739">
        <f t="shared" ref="AN86:AN88" si="26">IF(AL86&lt;0,0,AL86)</f>
        <v>7429.24</v>
      </c>
      <c r="AO86" s="2490"/>
      <c r="AP86" s="1740" t="s">
        <v>9</v>
      </c>
      <c r="AQ86" s="2510">
        <f>XM.HN!G55</f>
        <v>0</v>
      </c>
      <c r="AR86" s="1745">
        <f>AQ86*8</f>
        <v>0</v>
      </c>
      <c r="AS86" s="1727">
        <f>($G$86-AR86)*53066/1000</f>
        <v>7429.24</v>
      </c>
      <c r="AT86" s="1728" t="s">
        <v>8</v>
      </c>
      <c r="AU86" s="1729">
        <f t="shared" ref="AU86:AU88" si="27">IF(AS86&lt;0,0,AS86)</f>
        <v>7429.24</v>
      </c>
      <c r="AV86" s="1729"/>
      <c r="AW86" s="1730" t="s">
        <v>9</v>
      </c>
      <c r="AZ86" s="1745">
        <v>138.4</v>
      </c>
      <c r="BA86" s="264">
        <v>84.905599999999694</v>
      </c>
      <c r="BB86" s="264" t="s">
        <v>8</v>
      </c>
      <c r="BC86" s="264">
        <v>84.905599999999694</v>
      </c>
      <c r="BE86" s="264" t="s">
        <v>9</v>
      </c>
    </row>
    <row r="87" spans="1:57" ht="33.75" customHeight="1">
      <c r="A87" s="44" t="s">
        <v>288</v>
      </c>
      <c r="B87" s="993" t="s">
        <v>126</v>
      </c>
      <c r="C87" s="2890" t="s">
        <v>1666</v>
      </c>
      <c r="D87" s="44" t="s">
        <v>4</v>
      </c>
      <c r="E87" s="13" t="str">
        <f>'XM.GUI MAIL'!E87</f>
        <v>7~10</v>
      </c>
      <c r="F87" s="1896" t="str">
        <f>'XM.GUI MAIL'!F87</f>
        <v>(8.5±1)</v>
      </c>
      <c r="G87" s="1065">
        <f>'XM.GUI MAIL'!G87</f>
        <v>8.5</v>
      </c>
      <c r="H87" s="87">
        <f>XM.HN!B56</f>
        <v>6.45</v>
      </c>
      <c r="I87" s="1922">
        <f>H87*1.3</f>
        <v>8.3849999999999998</v>
      </c>
      <c r="J87" s="2465">
        <f>($G$87-I87)*53066/1000</f>
        <v>6.1025900000000108</v>
      </c>
      <c r="K87" s="1738" t="s">
        <v>8</v>
      </c>
      <c r="L87" s="1757">
        <f t="shared" si="17"/>
        <v>6.1025900000000108</v>
      </c>
      <c r="M87" s="2496"/>
      <c r="N87" s="1740" t="s">
        <v>976</v>
      </c>
      <c r="O87" s="2517">
        <f>XM.HN!C56</f>
        <v>6.45</v>
      </c>
      <c r="P87" s="1922">
        <f>O87*1.3</f>
        <v>8.3849999999999998</v>
      </c>
      <c r="Q87" s="2465">
        <f>($G$87-P87)*53066/1000</f>
        <v>6.1025900000000108</v>
      </c>
      <c r="R87" s="1738" t="s">
        <v>8</v>
      </c>
      <c r="S87" s="1757">
        <f t="shared" si="23"/>
        <v>6.1025900000000108</v>
      </c>
      <c r="T87" s="2496"/>
      <c r="U87" s="1740" t="s">
        <v>976</v>
      </c>
      <c r="V87" s="2542">
        <f>XM.HN!D56</f>
        <v>6.5</v>
      </c>
      <c r="W87" s="1922">
        <f>V87*1.3</f>
        <v>8.4500000000000011</v>
      </c>
      <c r="X87" s="2465">
        <f>($G$87-W87)*53066/1000</f>
        <v>2.6532999999999434</v>
      </c>
      <c r="Y87" s="1738" t="s">
        <v>8</v>
      </c>
      <c r="Z87" s="1757">
        <f t="shared" si="24"/>
        <v>2.6532999999999434</v>
      </c>
      <c r="AA87" s="2496"/>
      <c r="AB87" s="1740" t="s">
        <v>976</v>
      </c>
      <c r="AC87" s="2510">
        <f>XM.HN!E56</f>
        <v>0</v>
      </c>
      <c r="AD87" s="1922">
        <f>AC87*1.3</f>
        <v>0</v>
      </c>
      <c r="AE87" s="2465">
        <f>($G$87-AD87)*53066/1000</f>
        <v>451.06099999999998</v>
      </c>
      <c r="AF87" s="1738" t="s">
        <v>8</v>
      </c>
      <c r="AG87" s="1757">
        <f t="shared" si="25"/>
        <v>451.06099999999998</v>
      </c>
      <c r="AH87" s="2496"/>
      <c r="AI87" s="1740" t="s">
        <v>976</v>
      </c>
      <c r="AJ87" s="2510">
        <f>XM.HN!F56</f>
        <v>0</v>
      </c>
      <c r="AK87" s="1922">
        <f>AJ87*1.3</f>
        <v>0</v>
      </c>
      <c r="AL87" s="2465">
        <f>($G$87-AK87)*53066/1000</f>
        <v>451.06099999999998</v>
      </c>
      <c r="AM87" s="1738" t="s">
        <v>8</v>
      </c>
      <c r="AN87" s="1757">
        <f t="shared" si="26"/>
        <v>451.06099999999998</v>
      </c>
      <c r="AO87" s="2496"/>
      <c r="AP87" s="1740" t="s">
        <v>976</v>
      </c>
      <c r="AQ87" s="2510">
        <f>XM.HN!G56</f>
        <v>0</v>
      </c>
      <c r="AR87" s="1922">
        <f>AQ87*1.3</f>
        <v>0</v>
      </c>
      <c r="AS87" s="1741">
        <f>($G$87-AR87)*53066/1000</f>
        <v>451.06099999999998</v>
      </c>
      <c r="AT87" s="1741" t="s">
        <v>8</v>
      </c>
      <c r="AU87" s="1729">
        <f t="shared" si="27"/>
        <v>451.06099999999998</v>
      </c>
      <c r="AV87" s="1729"/>
      <c r="AW87" s="1730" t="s">
        <v>976</v>
      </c>
      <c r="AZ87" s="1731">
        <v>8.19</v>
      </c>
      <c r="BA87" s="264">
        <v>16.450460000000025</v>
      </c>
      <c r="BB87" s="264" t="s">
        <v>8</v>
      </c>
      <c r="BC87" s="264">
        <v>16.450460000000025</v>
      </c>
      <c r="BE87" s="264" t="s">
        <v>9</v>
      </c>
    </row>
    <row r="88" spans="1:57" ht="37.5" customHeight="1">
      <c r="A88" s="274" t="s">
        <v>289</v>
      </c>
      <c r="B88" s="993" t="s">
        <v>126</v>
      </c>
      <c r="C88" s="1362" t="s">
        <v>1129</v>
      </c>
      <c r="D88" s="1360" t="s">
        <v>3</v>
      </c>
      <c r="E88" s="13" t="str">
        <f>'XM.GUI MAIL'!E88</f>
        <v>5~8</v>
      </c>
      <c r="F88" s="1896" t="str">
        <f>'XM.GUI MAIL'!F88</f>
        <v>(6±1)</v>
      </c>
      <c r="G88" s="1065">
        <f>'XM.GUI MAIL'!G88</f>
        <v>6</v>
      </c>
      <c r="H88" s="87">
        <f>XM.HN!B57</f>
        <v>18.350000000000001</v>
      </c>
      <c r="I88" s="1731">
        <f>(H88*0.4237)-1.0461</f>
        <v>6.7287950000000007</v>
      </c>
      <c r="J88" s="2465">
        <f>($G$88-I88)*3360/100</f>
        <v>-24.487512000000024</v>
      </c>
      <c r="K88" s="1738" t="s">
        <v>8</v>
      </c>
      <c r="L88" s="1739">
        <f t="shared" si="17"/>
        <v>0</v>
      </c>
      <c r="M88" s="2490"/>
      <c r="N88" s="1872" t="s">
        <v>10</v>
      </c>
      <c r="O88" s="2532">
        <f>XM.HN!C57</f>
        <v>18.25</v>
      </c>
      <c r="P88" s="1731">
        <f>(O88*0.4237)-1.0461</f>
        <v>6.6864250000000007</v>
      </c>
      <c r="Q88" s="2465">
        <f>($G$88-P88)*3360/100</f>
        <v>-23.063880000000026</v>
      </c>
      <c r="R88" s="1738" t="s">
        <v>8</v>
      </c>
      <c r="S88" s="1739">
        <f t="shared" si="23"/>
        <v>0</v>
      </c>
      <c r="T88" s="2490"/>
      <c r="U88" s="1740" t="s">
        <v>10</v>
      </c>
      <c r="V88" s="2552">
        <f>XM.HN!D57</f>
        <v>18.100000000000001</v>
      </c>
      <c r="W88" s="1731">
        <f>(V88*0.4237)-1.0461</f>
        <v>6.6228700000000007</v>
      </c>
      <c r="X88" s="2465">
        <f>($G$88-W88)*3360/100</f>
        <v>-20.928432000000026</v>
      </c>
      <c r="Y88" s="1738" t="s">
        <v>8</v>
      </c>
      <c r="Z88" s="1739">
        <f t="shared" si="24"/>
        <v>0</v>
      </c>
      <c r="AA88" s="2490"/>
      <c r="AB88" s="1740" t="s">
        <v>10</v>
      </c>
      <c r="AC88" s="2510">
        <f>XM.HN!E57</f>
        <v>0</v>
      </c>
      <c r="AD88" s="1731">
        <f>(AC88*0.4237)-1.0461</f>
        <v>-1.0461</v>
      </c>
      <c r="AE88" s="2465">
        <f>($G$88-AD88)*3360/100</f>
        <v>236.74896000000001</v>
      </c>
      <c r="AF88" s="1738" t="s">
        <v>8</v>
      </c>
      <c r="AG88" s="1739">
        <f t="shared" si="25"/>
        <v>236.74896000000001</v>
      </c>
      <c r="AH88" s="2490"/>
      <c r="AI88" s="1740" t="s">
        <v>10</v>
      </c>
      <c r="AJ88" s="2510">
        <f>XM.HN!F57</f>
        <v>0</v>
      </c>
      <c r="AK88" s="1731">
        <f>(AJ88*0.4237)-1.0461</f>
        <v>-1.0461</v>
      </c>
      <c r="AL88" s="2465">
        <f>($G$88-AK88)*3360/100</f>
        <v>236.74896000000001</v>
      </c>
      <c r="AM88" s="1738" t="s">
        <v>8</v>
      </c>
      <c r="AN88" s="1739">
        <f t="shared" si="26"/>
        <v>236.74896000000001</v>
      </c>
      <c r="AO88" s="2490"/>
      <c r="AP88" s="1740" t="s">
        <v>10</v>
      </c>
      <c r="AQ88" s="2510">
        <f>XM.HN!G57</f>
        <v>0</v>
      </c>
      <c r="AR88" s="1731">
        <f>(AQ88*0.4237)-1.0461</f>
        <v>-1.0461</v>
      </c>
      <c r="AS88" s="1737">
        <f>($G$88-AR88)*3360/100</f>
        <v>236.74896000000001</v>
      </c>
      <c r="AT88" s="1738" t="s">
        <v>8</v>
      </c>
      <c r="AU88" s="1739">
        <f t="shared" si="27"/>
        <v>236.74896000000001</v>
      </c>
      <c r="AV88" s="1739"/>
      <c r="AW88" s="1740" t="s">
        <v>10</v>
      </c>
      <c r="AZ88" s="1731">
        <v>6.0720600000000005</v>
      </c>
      <c r="BA88" s="264">
        <v>-2.4212160000000154</v>
      </c>
      <c r="BB88" s="264" t="s">
        <v>8</v>
      </c>
      <c r="BC88" s="264">
        <v>0</v>
      </c>
      <c r="BE88" s="264" t="s">
        <v>10</v>
      </c>
    </row>
    <row r="89" spans="1:57" ht="33.75" customHeight="1">
      <c r="A89" s="44" t="s">
        <v>290</v>
      </c>
      <c r="B89" s="993" t="s">
        <v>126</v>
      </c>
      <c r="C89" s="1343" t="str">
        <f>MENU!AE44</f>
        <v>Pha mới: 2024/06/22</v>
      </c>
      <c r="D89" s="1360" t="s">
        <v>5</v>
      </c>
      <c r="E89" s="13" t="str">
        <f>'XM.GUI MAIL'!E89</f>
        <v>2.0~2.4</v>
      </c>
      <c r="F89" s="1896" t="str">
        <f>'XM.GUI MAIL'!F89</f>
        <v>(2.2±0.1)</v>
      </c>
      <c r="G89" s="1065">
        <f>'XM.GUI MAIL'!G89</f>
        <v>0</v>
      </c>
      <c r="H89" s="87"/>
      <c r="I89" s="2228">
        <f>XM.HN!B66</f>
        <v>2.11</v>
      </c>
      <c r="J89" s="2464"/>
      <c r="K89" s="1734"/>
      <c r="L89" s="1757"/>
      <c r="M89" s="2496"/>
      <c r="N89" s="1735"/>
      <c r="O89" s="2517"/>
      <c r="P89" s="2228">
        <f>XM.HN!C66</f>
        <v>2.1</v>
      </c>
      <c r="Q89" s="2476"/>
      <c r="R89" s="1741"/>
      <c r="S89" s="1757"/>
      <c r="T89" s="2496"/>
      <c r="U89" s="1746"/>
      <c r="V89" s="2542"/>
      <c r="W89" s="2228">
        <f>XM.HN!D66</f>
        <v>2.14</v>
      </c>
      <c r="X89" s="2476"/>
      <c r="Y89" s="1741"/>
      <c r="Z89" s="1757"/>
      <c r="AA89" s="2496"/>
      <c r="AB89" s="1746"/>
      <c r="AC89" s="2510"/>
      <c r="AD89" s="2228">
        <f>XM.HN!E66</f>
        <v>0</v>
      </c>
      <c r="AE89" s="2476"/>
      <c r="AF89" s="1741"/>
      <c r="AG89" s="1757"/>
      <c r="AH89" s="2496"/>
      <c r="AI89" s="1746"/>
      <c r="AJ89" s="2510"/>
      <c r="AK89" s="2228">
        <f>XM.HN!F66</f>
        <v>0</v>
      </c>
      <c r="AL89" s="2476"/>
      <c r="AM89" s="1741"/>
      <c r="AN89" s="1757"/>
      <c r="AO89" s="2496"/>
      <c r="AP89" s="1746"/>
      <c r="AQ89" s="2510"/>
      <c r="AR89" s="2228">
        <f>XM.HN!G66</f>
        <v>0</v>
      </c>
      <c r="AS89" s="1733"/>
      <c r="AT89" s="1734"/>
      <c r="AU89" s="1734"/>
      <c r="AV89" s="1734"/>
      <c r="AW89" s="1771"/>
      <c r="AZ89" s="1731">
        <v>2.16</v>
      </c>
    </row>
    <row r="90" spans="1:57" ht="33.75" customHeight="1">
      <c r="A90" s="275" t="s">
        <v>293</v>
      </c>
      <c r="B90" s="2452" t="s">
        <v>126</v>
      </c>
      <c r="C90" s="101" t="s">
        <v>81</v>
      </c>
      <c r="D90" s="2453" t="s">
        <v>6</v>
      </c>
      <c r="E90" s="13" t="str">
        <f>'XM.GUI MAIL'!E90</f>
        <v>40~50</v>
      </c>
      <c r="F90" s="1896" t="str">
        <f>'XM.GUI MAIL'!F90</f>
        <v>(45±5)</v>
      </c>
      <c r="G90" s="1339">
        <f>'XM.GUI MAIL'!G90</f>
        <v>0.45</v>
      </c>
      <c r="H90" s="87">
        <f>XM.HN!B59</f>
        <v>1.7</v>
      </c>
      <c r="I90" s="1747">
        <v>0.44500000000000001</v>
      </c>
      <c r="J90" s="2465">
        <f>($G$90-I90)*3234</f>
        <v>16.170000000000016</v>
      </c>
      <c r="K90" s="1738" t="s">
        <v>8</v>
      </c>
      <c r="L90" s="1757">
        <f t="shared" ref="L90" si="28">IF(J90&lt;0,0,J90)</f>
        <v>16.170000000000016</v>
      </c>
      <c r="M90" s="2037"/>
      <c r="N90" s="1744" t="s">
        <v>10</v>
      </c>
      <c r="O90" s="2515">
        <f>XM.HN!C59</f>
        <v>2</v>
      </c>
      <c r="P90" s="1747">
        <f>(1*O90*36.5)/(0.5*10)/32%/100</f>
        <v>0.45624999999999999</v>
      </c>
      <c r="Q90" s="2465">
        <f>($G$90-P90)*3234</f>
        <v>-20.212499999999928</v>
      </c>
      <c r="R90" s="1738" t="s">
        <v>8</v>
      </c>
      <c r="S90" s="1757">
        <f t="shared" ref="S90" si="29">IF(Q90&lt;0,0,Q90)</f>
        <v>0</v>
      </c>
      <c r="T90" s="2037"/>
      <c r="U90" s="1744" t="s">
        <v>10</v>
      </c>
      <c r="V90" s="2634">
        <f>XM.HN!D59</f>
        <v>2.16</v>
      </c>
      <c r="W90" s="1747">
        <f>(1*V90*36.5)/(0.5*10)/32%/100</f>
        <v>0.49274999999999997</v>
      </c>
      <c r="X90" s="2465">
        <f>($G$90-W90)*3234</f>
        <v>-138.25349999999986</v>
      </c>
      <c r="Y90" s="1738" t="s">
        <v>8</v>
      </c>
      <c r="Z90" s="1757">
        <f t="shared" ref="Z90" si="30">IF(X90&lt;0,0,X90)</f>
        <v>0</v>
      </c>
      <c r="AA90" s="2037"/>
      <c r="AB90" s="1744" t="s">
        <v>10</v>
      </c>
      <c r="AC90" s="2634">
        <f>XM.HN!E59</f>
        <v>0</v>
      </c>
      <c r="AD90" s="1747">
        <f>(1*AC90*36.5)/(0.5*10)/32%/100</f>
        <v>0</v>
      </c>
      <c r="AE90" s="2465">
        <f>($G$90-AD90)*3234</f>
        <v>1455.3</v>
      </c>
      <c r="AF90" s="1738" t="s">
        <v>8</v>
      </c>
      <c r="AG90" s="1757">
        <f t="shared" ref="AG90" si="31">IF(AE90&lt;0,0,AE90)</f>
        <v>1455.3</v>
      </c>
      <c r="AH90" s="2037"/>
      <c r="AI90" s="1744" t="s">
        <v>10</v>
      </c>
      <c r="AJ90" s="2632">
        <f>XM.HN!F59</f>
        <v>0</v>
      </c>
      <c r="AK90" s="1747">
        <f>(1*AJ90*36.5)/(0.5*10)/32%/100</f>
        <v>0</v>
      </c>
      <c r="AL90" s="2465">
        <f>($G$90-AK90)*3234</f>
        <v>1455.3</v>
      </c>
      <c r="AM90" s="1738" t="s">
        <v>8</v>
      </c>
      <c r="AN90" s="1757">
        <f t="shared" ref="AN90" si="32">IF(AL90&lt;0,0,AL90)</f>
        <v>1455.3</v>
      </c>
      <c r="AO90" s="2037"/>
      <c r="AP90" s="1744" t="s">
        <v>10</v>
      </c>
      <c r="AQ90" s="2632">
        <f>XM.HN!G59</f>
        <v>0</v>
      </c>
      <c r="AR90" s="1747">
        <f>(1*AQ90*36.5)/(0.5*10)/32%/100</f>
        <v>0</v>
      </c>
      <c r="AS90" s="2465">
        <f>($G$90-AR90)*3234</f>
        <v>1455.3</v>
      </c>
      <c r="AT90" s="1738" t="s">
        <v>8</v>
      </c>
      <c r="AU90" s="1757">
        <f t="shared" ref="AU90" si="33">IF(AS90&lt;0,0,AS90)</f>
        <v>1455.3</v>
      </c>
      <c r="AV90" s="2037"/>
      <c r="AW90" s="1740" t="s">
        <v>10</v>
      </c>
      <c r="AZ90" s="1736">
        <v>0.45100000000000001</v>
      </c>
      <c r="BA90" s="264">
        <v>-3.2340000000000027</v>
      </c>
      <c r="BB90" s="264" t="s">
        <v>8</v>
      </c>
      <c r="BC90" s="264">
        <v>0</v>
      </c>
      <c r="BE90" s="264" t="s">
        <v>10</v>
      </c>
    </row>
    <row r="91" spans="1:57" ht="33.75" customHeight="1">
      <c r="A91" s="275" t="s">
        <v>291</v>
      </c>
      <c r="B91" s="993" t="s">
        <v>126</v>
      </c>
      <c r="C91" s="101" t="s">
        <v>1554</v>
      </c>
      <c r="D91" s="44" t="s">
        <v>6</v>
      </c>
      <c r="E91" s="13" t="str">
        <f>'XM.GUI MAIL'!E91</f>
        <v>10~20</v>
      </c>
      <c r="F91" s="1896" t="str">
        <f>'XM.GUI MAIL'!F91</f>
        <v>(15±5)</v>
      </c>
      <c r="G91" s="1339">
        <f>'XM.GUI MAIL'!G91</f>
        <v>0.15</v>
      </c>
      <c r="H91" s="87">
        <f>XM.HN!B60</f>
        <v>0</v>
      </c>
      <c r="I91" s="1736">
        <v>0.156</v>
      </c>
      <c r="J91" s="2465">
        <f>($G$91-I91)*3361</f>
        <v>-20.166000000000018</v>
      </c>
      <c r="K91" s="1738" t="s">
        <v>8</v>
      </c>
      <c r="L91" s="1757">
        <f t="shared" ref="L91:L95" si="34">IF(J91&lt;0,0,J91)</f>
        <v>0</v>
      </c>
      <c r="M91" s="2037"/>
      <c r="N91" s="1744" t="s">
        <v>10</v>
      </c>
      <c r="O91" s="2515">
        <f>XM.HN!C60</f>
        <v>0</v>
      </c>
      <c r="P91" s="1736">
        <v>0.152</v>
      </c>
      <c r="Q91" s="2465">
        <f>($G$91-P91)*3361</f>
        <v>-6.7220000000000057</v>
      </c>
      <c r="R91" s="1766" t="s">
        <v>8</v>
      </c>
      <c r="S91" s="1757">
        <f t="shared" ref="S91:S93" si="35">IF(Q91&lt;0,0,Q91)</f>
        <v>0</v>
      </c>
      <c r="T91" s="2037"/>
      <c r="U91" s="1758" t="s">
        <v>10</v>
      </c>
      <c r="V91" s="2634">
        <f>XM.HN!D60</f>
        <v>0</v>
      </c>
      <c r="W91" s="1736">
        <v>0.14599999999999999</v>
      </c>
      <c r="X91" s="2465">
        <f>($G$91-W91)*3361</f>
        <v>13.444000000000011</v>
      </c>
      <c r="Y91" s="1766" t="s">
        <v>8</v>
      </c>
      <c r="Z91" s="1757">
        <f t="shared" ref="Z91:Z93" si="36">IF(X91&lt;0,0,X91)</f>
        <v>13.444000000000011</v>
      </c>
      <c r="AA91" s="2037"/>
      <c r="AB91" s="1758" t="s">
        <v>10</v>
      </c>
      <c r="AC91" s="2634">
        <f>XM.HN!E60</f>
        <v>0</v>
      </c>
      <c r="AD91" s="1736">
        <f>(1*AC91*36.5)/(0.5*10)/32%/100</f>
        <v>0</v>
      </c>
      <c r="AE91" s="2465">
        <f>($G$91-AD91)*3361</f>
        <v>504.15</v>
      </c>
      <c r="AF91" s="1766" t="s">
        <v>8</v>
      </c>
      <c r="AG91" s="1757">
        <f t="shared" ref="AG91:AG93" si="37">IF(AE91&lt;0,0,AE91)</f>
        <v>504.15</v>
      </c>
      <c r="AH91" s="2037"/>
      <c r="AI91" s="1758" t="s">
        <v>10</v>
      </c>
      <c r="AJ91" s="2632">
        <f>XM.HN!F60</f>
        <v>0</v>
      </c>
      <c r="AK91" s="1736">
        <f>(1*AJ91*36.5)/(0.5*10)/32%/100</f>
        <v>0</v>
      </c>
      <c r="AL91" s="2465">
        <f>($G$91-AK91)*3361</f>
        <v>504.15</v>
      </c>
      <c r="AM91" s="1766" t="s">
        <v>8</v>
      </c>
      <c r="AN91" s="1757">
        <f t="shared" ref="AN91:AN93" si="38">IF(AL91&lt;0,0,AL91)</f>
        <v>504.15</v>
      </c>
      <c r="AO91" s="2037"/>
      <c r="AP91" s="1758" t="s">
        <v>10</v>
      </c>
      <c r="AQ91" s="2632">
        <f>XM.HN!G60</f>
        <v>0</v>
      </c>
      <c r="AR91" s="1736">
        <f>(1*AQ91*36.5)/(0.5*10)/32%/100</f>
        <v>0</v>
      </c>
      <c r="AS91" s="2465">
        <f>($G$91-AR91)*3361</f>
        <v>504.15</v>
      </c>
      <c r="AT91" s="1738" t="s">
        <v>8</v>
      </c>
      <c r="AU91" s="1757">
        <f t="shared" ref="AU91:AU93" si="39">IF(AS91&lt;0,0,AS91)</f>
        <v>504.15</v>
      </c>
      <c r="AV91" s="2037"/>
      <c r="AW91" s="1740" t="s">
        <v>10</v>
      </c>
      <c r="AZ91" s="1747">
        <v>0.161</v>
      </c>
      <c r="BA91" s="264">
        <v>-36.971000000000032</v>
      </c>
      <c r="BB91" s="264" t="s">
        <v>8</v>
      </c>
      <c r="BC91" s="264">
        <v>0</v>
      </c>
      <c r="BE91" s="264" t="s">
        <v>10</v>
      </c>
    </row>
    <row r="92" spans="1:57" ht="33.75" customHeight="1">
      <c r="A92" s="2255"/>
      <c r="B92" s="2257"/>
      <c r="C92" s="101" t="s">
        <v>1555</v>
      </c>
      <c r="D92" s="2256" t="s">
        <v>6</v>
      </c>
      <c r="E92" s="13" t="str">
        <f>'XM.GUI MAIL'!E92</f>
        <v>40~50</v>
      </c>
      <c r="F92" s="1896" t="str">
        <f>'XM.GUI MAIL'!F92</f>
        <v>(45±5)</v>
      </c>
      <c r="G92" s="1339">
        <f>'XM.GUI MAIL'!G92</f>
        <v>0.45</v>
      </c>
      <c r="H92" s="87">
        <f>XM.HN!B61</f>
        <v>1.96</v>
      </c>
      <c r="I92" s="1747">
        <f>(1*H92*36.5)/(0.5*10)/32%/100</f>
        <v>0.44712499999999994</v>
      </c>
      <c r="J92" s="2465">
        <f>($G$92-I92)*3361</f>
        <v>9.6628750000002412</v>
      </c>
      <c r="K92" s="1738" t="s">
        <v>8</v>
      </c>
      <c r="L92" s="1757">
        <f t="shared" si="34"/>
        <v>9.6628750000002412</v>
      </c>
      <c r="M92" s="2037"/>
      <c r="N92" s="1744" t="s">
        <v>10</v>
      </c>
      <c r="O92" s="2515">
        <f>XM.HN!C61</f>
        <v>2.06</v>
      </c>
      <c r="P92" s="1747">
        <f>(1*O92*36.5)/(0.5*10)/32%/100</f>
        <v>0.46993750000000001</v>
      </c>
      <c r="Q92" s="2465">
        <f>($G$92-P92)*3361</f>
        <v>-67.009937499999992</v>
      </c>
      <c r="R92" s="1738" t="s">
        <v>8</v>
      </c>
      <c r="S92" s="1757">
        <f t="shared" si="35"/>
        <v>0</v>
      </c>
      <c r="T92" s="2037"/>
      <c r="U92" s="1744" t="s">
        <v>10</v>
      </c>
      <c r="V92" s="2634">
        <f>XM.HN!D61</f>
        <v>2.12</v>
      </c>
      <c r="W92" s="1747">
        <f>(1*V92*36.5)/(0.5*10)/32%/100</f>
        <v>0.48362500000000003</v>
      </c>
      <c r="X92" s="2465">
        <f>($G$92-W92)*3361</f>
        <v>-113.01362500000005</v>
      </c>
      <c r="Y92" s="1738" t="s">
        <v>8</v>
      </c>
      <c r="Z92" s="1757">
        <f t="shared" si="36"/>
        <v>0</v>
      </c>
      <c r="AA92" s="2037"/>
      <c r="AB92" s="1744" t="s">
        <v>10</v>
      </c>
      <c r="AC92" s="2634">
        <f>XM.HN!E61</f>
        <v>0</v>
      </c>
      <c r="AD92" s="1747">
        <f>(1*AC92*36.5)/(0.5*10)/32%/100</f>
        <v>0</v>
      </c>
      <c r="AE92" s="2465">
        <f>($G$92-AD92)*3361</f>
        <v>1512.45</v>
      </c>
      <c r="AF92" s="1738" t="s">
        <v>8</v>
      </c>
      <c r="AG92" s="1757">
        <f t="shared" si="37"/>
        <v>1512.45</v>
      </c>
      <c r="AH92" s="2037"/>
      <c r="AI92" s="1744" t="s">
        <v>10</v>
      </c>
      <c r="AJ92" s="2632">
        <f>XM.HN!F61</f>
        <v>0</v>
      </c>
      <c r="AK92" s="1747">
        <f>(1*AJ92*36.5)/(0.5*10)/32%/100</f>
        <v>0</v>
      </c>
      <c r="AL92" s="2465">
        <f>($G$92-AK92)*3361</f>
        <v>1512.45</v>
      </c>
      <c r="AM92" s="1738" t="s">
        <v>8</v>
      </c>
      <c r="AN92" s="1757">
        <f t="shared" si="38"/>
        <v>1512.45</v>
      </c>
      <c r="AO92" s="2037"/>
      <c r="AP92" s="1744" t="s">
        <v>10</v>
      </c>
      <c r="AQ92" s="2632">
        <f>XM.HN!G61</f>
        <v>0</v>
      </c>
      <c r="AR92" s="1747">
        <f>(1*AQ92*36.5)/(0.5*10)/32%/100</f>
        <v>0</v>
      </c>
      <c r="AS92" s="2465">
        <f>($G$92-AR92)*3361</f>
        <v>1512.45</v>
      </c>
      <c r="AT92" s="1738" t="s">
        <v>8</v>
      </c>
      <c r="AU92" s="1757">
        <f t="shared" si="39"/>
        <v>1512.45</v>
      </c>
      <c r="AV92" s="2037"/>
      <c r="AW92" s="1740" t="s">
        <v>10</v>
      </c>
      <c r="AZ92" s="1747">
        <v>0.46081249999999996</v>
      </c>
      <c r="BA92" s="264">
        <v>-36.340812499999821</v>
      </c>
      <c r="BB92" s="264" t="s">
        <v>8</v>
      </c>
      <c r="BC92" s="264">
        <v>0</v>
      </c>
      <c r="BE92" s="264" t="s">
        <v>10</v>
      </c>
    </row>
    <row r="93" spans="1:57" ht="33.75" customHeight="1">
      <c r="A93" s="275" t="s">
        <v>292</v>
      </c>
      <c r="B93" s="993" t="s">
        <v>126</v>
      </c>
      <c r="C93" s="101" t="s">
        <v>82</v>
      </c>
      <c r="D93" s="44" t="s">
        <v>6</v>
      </c>
      <c r="E93" s="13" t="str">
        <f>'XM.GUI MAIL'!E93</f>
        <v>40~50</v>
      </c>
      <c r="F93" s="1896" t="str">
        <f>'XM.GUI MAIL'!F93</f>
        <v>(45±5)</v>
      </c>
      <c r="G93" s="1339">
        <f>'XM.GUI MAIL'!G93</f>
        <v>0.45</v>
      </c>
      <c r="H93" s="87">
        <f>XM.HN!B62</f>
        <v>1.98</v>
      </c>
      <c r="I93" s="1747">
        <f>(1*H93*36.5)/(0.5*10)/32%/100</f>
        <v>0.45168749999999996</v>
      </c>
      <c r="J93" s="2465">
        <f>($G$93-I93)*10509</f>
        <v>-17.733937499999506</v>
      </c>
      <c r="K93" s="1738" t="s">
        <v>8</v>
      </c>
      <c r="L93" s="1757">
        <f t="shared" si="34"/>
        <v>0</v>
      </c>
      <c r="M93" s="2037"/>
      <c r="N93" s="1744" t="s">
        <v>10</v>
      </c>
      <c r="O93" s="2515">
        <f>XM.HN!C62</f>
        <v>2</v>
      </c>
      <c r="P93" s="1747">
        <f>(1*O93*36.5)/(0.5*10)/32%/100</f>
        <v>0.45624999999999999</v>
      </c>
      <c r="Q93" s="2465">
        <f>($G$93-P93)*10509</f>
        <v>-65.681249999999764</v>
      </c>
      <c r="R93" s="1738" t="s">
        <v>8</v>
      </c>
      <c r="S93" s="1757">
        <f t="shared" si="35"/>
        <v>0</v>
      </c>
      <c r="T93" s="2037"/>
      <c r="U93" s="1744" t="s">
        <v>10</v>
      </c>
      <c r="V93" s="2634">
        <f>XM.HN!D62</f>
        <v>2</v>
      </c>
      <c r="W93" s="1747">
        <f>(1*V93*36.5)/(0.5*10)/32%/100</f>
        <v>0.45624999999999999</v>
      </c>
      <c r="X93" s="2465">
        <f>($G$93-W93)*10509</f>
        <v>-65.681249999999764</v>
      </c>
      <c r="Y93" s="1738" t="s">
        <v>8</v>
      </c>
      <c r="Z93" s="1757">
        <f t="shared" si="36"/>
        <v>0</v>
      </c>
      <c r="AA93" s="2037"/>
      <c r="AB93" s="1744" t="s">
        <v>10</v>
      </c>
      <c r="AC93" s="2634">
        <f>XM.HN!E62</f>
        <v>0</v>
      </c>
      <c r="AD93" s="1747">
        <f>(1*AC93*36.5)/(0.5*10)/32%/100</f>
        <v>0</v>
      </c>
      <c r="AE93" s="2465">
        <f>($G$93-AD93)*10509</f>
        <v>4729.05</v>
      </c>
      <c r="AF93" s="1738" t="s">
        <v>8</v>
      </c>
      <c r="AG93" s="1757">
        <f t="shared" si="37"/>
        <v>4729.05</v>
      </c>
      <c r="AH93" s="2037"/>
      <c r="AI93" s="1744" t="s">
        <v>10</v>
      </c>
      <c r="AJ93" s="2632">
        <f>XM.HN!F62</f>
        <v>0</v>
      </c>
      <c r="AK93" s="1747">
        <f>(1*AJ93*36.5)/(0.5*10)/32%/100</f>
        <v>0</v>
      </c>
      <c r="AL93" s="2465">
        <f>($G$93-AK93)*10509</f>
        <v>4729.05</v>
      </c>
      <c r="AM93" s="1738" t="s">
        <v>8</v>
      </c>
      <c r="AN93" s="1757">
        <f t="shared" si="38"/>
        <v>4729.05</v>
      </c>
      <c r="AO93" s="2037"/>
      <c r="AP93" s="1744" t="s">
        <v>10</v>
      </c>
      <c r="AQ93" s="2632">
        <f>XM.HN!G62</f>
        <v>0</v>
      </c>
      <c r="AR93" s="1747">
        <f>(1*AQ93*36.5)/(0.5*10)/32%/100</f>
        <v>0</v>
      </c>
      <c r="AS93" s="2465">
        <f>($G$93-AR93)*10509</f>
        <v>4729.05</v>
      </c>
      <c r="AT93" s="1738" t="s">
        <v>8</v>
      </c>
      <c r="AU93" s="1757">
        <f t="shared" si="39"/>
        <v>4729.05</v>
      </c>
      <c r="AV93" s="2037"/>
      <c r="AW93" s="1740" t="s">
        <v>10</v>
      </c>
      <c r="AZ93" s="1747">
        <v>0.45168749999999996</v>
      </c>
      <c r="BA93" s="264">
        <v>-17.733937499999506</v>
      </c>
      <c r="BB93" s="264" t="s">
        <v>8</v>
      </c>
      <c r="BC93" s="264">
        <v>0</v>
      </c>
      <c r="BE93" s="264" t="s">
        <v>10</v>
      </c>
    </row>
    <row r="94" spans="1:57" ht="33.75" customHeight="1">
      <c r="A94" s="275" t="s">
        <v>294</v>
      </c>
      <c r="B94" s="993" t="s">
        <v>126</v>
      </c>
      <c r="C94" s="101" t="s">
        <v>147</v>
      </c>
      <c r="D94" s="44" t="s">
        <v>6</v>
      </c>
      <c r="E94" s="13" t="str">
        <f>'XM.GUI MAIL'!E94</f>
        <v>0.5~1.0</v>
      </c>
      <c r="F94" s="1896" t="str">
        <f>'XM.GUI MAIL'!F94</f>
        <v>(0.7±0.1)</v>
      </c>
      <c r="G94" s="1339">
        <f>'XM.GUI MAIL'!G94</f>
        <v>7.0000000000000001E-3</v>
      </c>
      <c r="H94" s="87">
        <f>XM.HN!B63</f>
        <v>5.9</v>
      </c>
      <c r="I94" s="1767">
        <f>(H94*0.126)/100</f>
        <v>7.4340000000000005E-3</v>
      </c>
      <c r="J94" s="2465">
        <f>($G$94-I94)*2808/65%/1.51</f>
        <v>-1.2416423841059614</v>
      </c>
      <c r="K94" s="1738" t="s">
        <v>8</v>
      </c>
      <c r="L94" s="1866">
        <f t="shared" si="34"/>
        <v>0</v>
      </c>
      <c r="M94" s="2491"/>
      <c r="N94" s="1740" t="s">
        <v>10</v>
      </c>
      <c r="O94" s="2517">
        <f>XM.HN!C63</f>
        <v>5.6</v>
      </c>
      <c r="P94" s="1767">
        <f>(O94*0.126)/100</f>
        <v>7.0559999999999998E-3</v>
      </c>
      <c r="Q94" s="2465">
        <f>($G$94-P94)*2808/65%/1.51</f>
        <v>-0.16021192052980024</v>
      </c>
      <c r="R94" s="1738" t="s">
        <v>8</v>
      </c>
      <c r="S94" s="1866">
        <f t="shared" ref="S94:S95" si="40">IF(Q94&lt;0,0,Q94)</f>
        <v>0</v>
      </c>
      <c r="T94" s="2491"/>
      <c r="U94" s="1740" t="s">
        <v>10</v>
      </c>
      <c r="V94" s="2517">
        <f>XM.HN!D63</f>
        <v>5.8</v>
      </c>
      <c r="W94" s="1767">
        <f>(V94*0.126)/100</f>
        <v>7.3080000000000003E-3</v>
      </c>
      <c r="X94" s="2465">
        <f>($G$94-W94)*2808/65%/1.51</f>
        <v>-0.88116556291390757</v>
      </c>
      <c r="Y94" s="1738" t="s">
        <v>8</v>
      </c>
      <c r="Z94" s="1866">
        <f t="shared" ref="Z94:Z95" si="41">IF(X94&lt;0,0,X94)</f>
        <v>0</v>
      </c>
      <c r="AA94" s="2491"/>
      <c r="AB94" s="1740" t="s">
        <v>10</v>
      </c>
      <c r="AC94" s="2517">
        <f>XM.HN!E63</f>
        <v>0</v>
      </c>
      <c r="AD94" s="1767">
        <f>(AC94*0.126)/100</f>
        <v>0</v>
      </c>
      <c r="AE94" s="2465">
        <f>($G$94-AD94)*2808/65%/1.51</f>
        <v>20.026490066225165</v>
      </c>
      <c r="AF94" s="1738" t="s">
        <v>8</v>
      </c>
      <c r="AG94" s="1866">
        <f t="shared" ref="AG94:AG95" si="42">IF(AE94&lt;0,0,AE94)</f>
        <v>20.026490066225165</v>
      </c>
      <c r="AH94" s="2491"/>
      <c r="AI94" s="1740" t="s">
        <v>10</v>
      </c>
      <c r="AJ94" s="2514">
        <f>XM.HN!F63</f>
        <v>0</v>
      </c>
      <c r="AK94" s="1767">
        <f>(AJ94*0.126)/100</f>
        <v>0</v>
      </c>
      <c r="AL94" s="2465">
        <f>($G$94-AK94)*2808/65%/1.51</f>
        <v>20.026490066225165</v>
      </c>
      <c r="AM94" s="1738" t="s">
        <v>8</v>
      </c>
      <c r="AN94" s="1866">
        <f t="shared" ref="AN94:AN95" si="43">IF(AL94&lt;0,0,AL94)</f>
        <v>20.026490066225165</v>
      </c>
      <c r="AO94" s="2491"/>
      <c r="AP94" s="1740" t="s">
        <v>10</v>
      </c>
      <c r="AQ94" s="2514">
        <f>XM.HN!G63</f>
        <v>0</v>
      </c>
      <c r="AR94" s="1767">
        <f>(AQ94*0.126)/100</f>
        <v>0</v>
      </c>
      <c r="AS94" s="1737">
        <f>($G$94-AR94)*2808/65%/1.51</f>
        <v>20.026490066225165</v>
      </c>
      <c r="AT94" s="1738" t="s">
        <v>8</v>
      </c>
      <c r="AU94" s="1866">
        <f t="shared" ref="AU94:AU95" si="44">IF(AS94&lt;0,0,AS94)</f>
        <v>20.026490066225165</v>
      </c>
      <c r="AV94" s="1866"/>
      <c r="AW94" s="1740" t="s">
        <v>10</v>
      </c>
      <c r="AZ94" s="1767">
        <v>7.0000000000000001E-3</v>
      </c>
      <c r="BA94" s="264">
        <v>0</v>
      </c>
      <c r="BB94" s="264" t="s">
        <v>8</v>
      </c>
      <c r="BC94" s="264">
        <v>0</v>
      </c>
      <c r="BE94" s="264" t="s">
        <v>10</v>
      </c>
    </row>
    <row r="95" spans="1:57" ht="33.75" customHeight="1">
      <c r="A95" s="274" t="s">
        <v>295</v>
      </c>
      <c r="B95" s="993" t="s">
        <v>126</v>
      </c>
      <c r="C95" s="291" t="s">
        <v>1545</v>
      </c>
      <c r="D95" s="44" t="s">
        <v>3</v>
      </c>
      <c r="E95" s="13" t="str">
        <f>'XM.GUI MAIL'!E95</f>
        <v>5~8</v>
      </c>
      <c r="F95" s="1896" t="str">
        <f>'XM.GUI MAIL'!F95</f>
        <v>(6±0.5)</v>
      </c>
      <c r="G95" s="1065">
        <f>'XM.GUI MAIL'!G95</f>
        <v>6</v>
      </c>
      <c r="H95" s="87">
        <f>XM.HN!B64</f>
        <v>5.45</v>
      </c>
      <c r="I95" s="2176">
        <f>H95*0.8+1.4</f>
        <v>5.76</v>
      </c>
      <c r="J95" s="2467">
        <f>($G$95-I95)*4042/95*0.88</f>
        <v>8.9860042105263229</v>
      </c>
      <c r="K95" s="1738" t="s">
        <v>8</v>
      </c>
      <c r="L95" s="1866">
        <f t="shared" si="34"/>
        <v>8.9860042105263229</v>
      </c>
      <c r="M95" s="2496"/>
      <c r="N95" s="1744" t="s">
        <v>10</v>
      </c>
      <c r="O95" s="2517">
        <f>XM.HN!C64</f>
        <v>5.4</v>
      </c>
      <c r="P95" s="2176">
        <v>5.85</v>
      </c>
      <c r="Q95" s="2467">
        <f>($G$95-P95)*4042/95*0.88</f>
        <v>5.6162526315789609</v>
      </c>
      <c r="R95" s="1738" t="s">
        <v>8</v>
      </c>
      <c r="S95" s="1866">
        <f t="shared" si="40"/>
        <v>5.6162526315789609</v>
      </c>
      <c r="T95" s="2496"/>
      <c r="U95" s="1740" t="s">
        <v>10</v>
      </c>
      <c r="V95" s="2517">
        <f>XM.HN!D64</f>
        <v>5.4</v>
      </c>
      <c r="W95" s="2176">
        <v>6</v>
      </c>
      <c r="X95" s="2467">
        <f>($G$95-W95)*4042/95*0.88</f>
        <v>0</v>
      </c>
      <c r="Y95" s="1738" t="s">
        <v>8</v>
      </c>
      <c r="Z95" s="1866">
        <f t="shared" si="41"/>
        <v>0</v>
      </c>
      <c r="AA95" s="2496"/>
      <c r="AB95" s="1744" t="s">
        <v>10</v>
      </c>
      <c r="AC95" s="2517">
        <f>XM.HN!E64</f>
        <v>0</v>
      </c>
      <c r="AD95" s="2176">
        <f>AC95*0.8+1.4</f>
        <v>1.4</v>
      </c>
      <c r="AE95" s="2467">
        <f>($G$95-AD95)*4042/95*0.88</f>
        <v>172.23174736842103</v>
      </c>
      <c r="AF95" s="1738" t="s">
        <v>8</v>
      </c>
      <c r="AG95" s="1866">
        <f t="shared" si="42"/>
        <v>172.23174736842103</v>
      </c>
      <c r="AH95" s="2496"/>
      <c r="AI95" s="1744" t="s">
        <v>10</v>
      </c>
      <c r="AJ95" s="2517">
        <f>XM.HN!F64</f>
        <v>0</v>
      </c>
      <c r="AK95" s="2176">
        <f>AJ95*0.8+1.4</f>
        <v>1.4</v>
      </c>
      <c r="AL95" s="2577">
        <f>($G$95-AK95)*4042/95*0.88</f>
        <v>172.23174736842103</v>
      </c>
      <c r="AM95" s="1728" t="s">
        <v>8</v>
      </c>
      <c r="AN95" s="1738">
        <f t="shared" si="43"/>
        <v>172.23174736842103</v>
      </c>
      <c r="AO95" s="2491"/>
      <c r="AP95" s="2037" t="s">
        <v>10</v>
      </c>
      <c r="AQ95" s="2579">
        <f>XM.HN!G64</f>
        <v>0</v>
      </c>
      <c r="AR95" s="2176">
        <f>AQ95*0.8+1.4</f>
        <v>1.4</v>
      </c>
      <c r="AS95" s="1728">
        <f>($G$95-AR95)*4042/95*0.88</f>
        <v>172.23174736842103</v>
      </c>
      <c r="AT95" s="1738" t="s">
        <v>8</v>
      </c>
      <c r="AU95" s="1866">
        <f t="shared" si="44"/>
        <v>172.23174736842103</v>
      </c>
      <c r="AV95" s="1739"/>
      <c r="AW95" s="1740" t="s">
        <v>10</v>
      </c>
      <c r="AZ95" s="1748">
        <v>5.85</v>
      </c>
      <c r="BA95" s="264">
        <v>5.6162526315789609</v>
      </c>
      <c r="BB95" s="264" t="s">
        <v>8</v>
      </c>
      <c r="BC95" s="264">
        <v>5.6162526315789609</v>
      </c>
      <c r="BE95" s="264" t="s">
        <v>10</v>
      </c>
    </row>
    <row r="96" spans="1:57" ht="36.75" customHeight="1">
      <c r="A96" s="274" t="s">
        <v>296</v>
      </c>
      <c r="B96" s="993" t="s">
        <v>126</v>
      </c>
      <c r="C96" s="2172" t="s">
        <v>119</v>
      </c>
      <c r="D96" s="44" t="s">
        <v>5</v>
      </c>
      <c r="E96" s="13" t="str">
        <f>'XM.GUI MAIL'!E96</f>
        <v>1.8~2.4</v>
      </c>
      <c r="F96" s="1896" t="str">
        <f>'XM.GUI MAIL'!F96</f>
        <v>(2.1±0.1)</v>
      </c>
      <c r="G96" s="1065">
        <f>'XM.GUI MAIL'!G96</f>
        <v>0</v>
      </c>
      <c r="H96" s="86"/>
      <c r="I96" s="1761">
        <f>XM.HN!B65</f>
        <v>2.0299999999999998</v>
      </c>
      <c r="J96" s="2467"/>
      <c r="K96" s="1738"/>
      <c r="L96" s="1739"/>
      <c r="M96" s="2496"/>
      <c r="N96" s="1744"/>
      <c r="O96" s="2517"/>
      <c r="P96" s="1761">
        <f>XM.HN!C65</f>
        <v>2</v>
      </c>
      <c r="Q96" s="2467"/>
      <c r="R96" s="1738"/>
      <c r="S96" s="1739"/>
      <c r="T96" s="2496"/>
      <c r="U96" s="1740"/>
      <c r="V96" s="2517"/>
      <c r="W96" s="1761">
        <f>XM.HN!D65</f>
        <v>2.0499999999999998</v>
      </c>
      <c r="X96" s="2467"/>
      <c r="Y96" s="1738"/>
      <c r="Z96" s="1739"/>
      <c r="AA96" s="2496"/>
      <c r="AB96" s="1744"/>
      <c r="AC96" s="2517"/>
      <c r="AD96" s="1761">
        <f>XM.HN!E65</f>
        <v>0</v>
      </c>
      <c r="AE96" s="2467"/>
      <c r="AF96" s="1738"/>
      <c r="AG96" s="1739"/>
      <c r="AH96" s="2496"/>
      <c r="AI96" s="1744"/>
      <c r="AJ96" s="2517"/>
      <c r="AK96" s="1761">
        <f>XM.HN!F65</f>
        <v>0</v>
      </c>
      <c r="AL96" s="2578"/>
      <c r="AM96" s="1728"/>
      <c r="AN96" s="1738"/>
      <c r="AO96" s="2490"/>
      <c r="AP96" s="2037"/>
      <c r="AQ96" s="2579"/>
      <c r="AR96" s="1761">
        <f>XM.HN!G65</f>
        <v>0</v>
      </c>
      <c r="AS96" s="1733"/>
      <c r="AT96" s="1728"/>
      <c r="AU96" s="1729"/>
      <c r="AV96" s="1729"/>
      <c r="AW96" s="1771"/>
      <c r="AZ96" s="1749">
        <v>2.2000000000000002</v>
      </c>
    </row>
    <row r="97" spans="1:57" ht="38.25" customHeight="1">
      <c r="A97" s="1344"/>
      <c r="B97" s="1345"/>
      <c r="C97" s="1342" t="s">
        <v>1642</v>
      </c>
      <c r="D97" s="272" t="s">
        <v>3</v>
      </c>
      <c r="E97" s="1372" t="s">
        <v>1644</v>
      </c>
      <c r="F97" s="1896" t="s">
        <v>1645</v>
      </c>
      <c r="G97" s="1065">
        <v>14</v>
      </c>
      <c r="H97" s="87">
        <f>XM.HN!B67</f>
        <v>0</v>
      </c>
      <c r="I97" s="1726">
        <v>13.7</v>
      </c>
      <c r="J97" s="2465">
        <f>($G$97-I97)*3360/100</f>
        <v>10.080000000000023</v>
      </c>
      <c r="K97" s="1738" t="s">
        <v>8</v>
      </c>
      <c r="L97" s="1739">
        <f t="shared" ref="L97" si="45">IF(J97&lt;0,0,J97)</f>
        <v>10.080000000000023</v>
      </c>
      <c r="M97" s="2490"/>
      <c r="N97" s="1872" t="s">
        <v>10</v>
      </c>
      <c r="O97" s="2532">
        <f>XM.HN!C67</f>
        <v>0</v>
      </c>
      <c r="P97" s="1726">
        <v>14.1</v>
      </c>
      <c r="Q97" s="2465">
        <f>($G$97-P97)*3360/100</f>
        <v>-3.3599999999999879</v>
      </c>
      <c r="R97" s="1738" t="s">
        <v>8</v>
      </c>
      <c r="S97" s="1739">
        <f t="shared" ref="S97" si="46">IF(Q97&lt;0,0,Q97)</f>
        <v>0</v>
      </c>
      <c r="T97" s="2490"/>
      <c r="U97" s="1740" t="s">
        <v>10</v>
      </c>
      <c r="V97" s="2552">
        <f>XM.HN!D67</f>
        <v>0</v>
      </c>
      <c r="W97" s="1726">
        <v>14</v>
      </c>
      <c r="X97" s="2465">
        <f>($G$97-W97)*3360/100</f>
        <v>0</v>
      </c>
      <c r="Y97" s="1738" t="s">
        <v>8</v>
      </c>
      <c r="Z97" s="1739">
        <f t="shared" ref="Z97" si="47">IF(X97&lt;0,0,X97)</f>
        <v>0</v>
      </c>
      <c r="AA97" s="2490"/>
      <c r="AB97" s="1740" t="s">
        <v>10</v>
      </c>
      <c r="AC97" s="2510">
        <f>XM.HN!E67</f>
        <v>0</v>
      </c>
      <c r="AD97" s="1726">
        <f>AC97*100/6.95/10</f>
        <v>0</v>
      </c>
      <c r="AE97" s="2465">
        <f>($G$97-AD97)*3360/100</f>
        <v>470.4</v>
      </c>
      <c r="AF97" s="1738" t="s">
        <v>8</v>
      </c>
      <c r="AG97" s="1739">
        <f t="shared" ref="AG97" si="48">IF(AE97&lt;0,0,AE97)</f>
        <v>470.4</v>
      </c>
      <c r="AH97" s="2490"/>
      <c r="AI97" s="1740" t="s">
        <v>10</v>
      </c>
      <c r="AJ97" s="2510">
        <f>XM.HN!F67</f>
        <v>0</v>
      </c>
      <c r="AK97" s="1726">
        <f>AJ97*100/6.95/10</f>
        <v>0</v>
      </c>
      <c r="AL97" s="2465">
        <f>($G$97-AK97)*3360/100</f>
        <v>470.4</v>
      </c>
      <c r="AM97" s="1738" t="s">
        <v>8</v>
      </c>
      <c r="AN97" s="1739">
        <f t="shared" ref="AN97" si="49">IF(AL97&lt;0,0,AL97)</f>
        <v>470.4</v>
      </c>
      <c r="AO97" s="2490"/>
      <c r="AP97" s="1740" t="s">
        <v>10</v>
      </c>
      <c r="AQ97" s="2510">
        <f>XM.HN!G67</f>
        <v>0</v>
      </c>
      <c r="AR97" s="1726">
        <f>AQ97*100/6.95/10</f>
        <v>0</v>
      </c>
      <c r="AS97" s="1737">
        <f>($G$97-AR97)*3360/100</f>
        <v>470.4</v>
      </c>
      <c r="AT97" s="1738" t="s">
        <v>8</v>
      </c>
      <c r="AU97" s="1739">
        <f t="shared" ref="AU97" si="50">IF(AS97&lt;0,0,AS97)</f>
        <v>470.4</v>
      </c>
      <c r="AV97" s="1739"/>
      <c r="AW97" s="1740" t="s">
        <v>10</v>
      </c>
      <c r="AZ97" s="1726">
        <v>14</v>
      </c>
      <c r="BA97" s="264">
        <v>0</v>
      </c>
      <c r="BB97" s="264" t="s">
        <v>8</v>
      </c>
      <c r="BC97" s="264">
        <v>0</v>
      </c>
      <c r="BE97" s="264" t="s">
        <v>10</v>
      </c>
    </row>
    <row r="98" spans="1:57" ht="38.25" customHeight="1" thickBot="1">
      <c r="A98" s="1344"/>
      <c r="B98" s="1345"/>
      <c r="C98" s="2110" t="s">
        <v>119</v>
      </c>
      <c r="D98" s="1344" t="s">
        <v>5</v>
      </c>
      <c r="E98" s="2111" t="s">
        <v>1634</v>
      </c>
      <c r="F98" s="2112" t="s">
        <v>1655</v>
      </c>
      <c r="G98" s="420">
        <v>0</v>
      </c>
      <c r="H98" s="2113"/>
      <c r="I98" s="1761">
        <v>1.67</v>
      </c>
      <c r="J98" s="2479"/>
      <c r="K98" s="2115"/>
      <c r="L98" s="2115"/>
      <c r="M98" s="2499"/>
      <c r="N98" s="2114"/>
      <c r="O98" s="2533"/>
      <c r="P98" s="1761">
        <v>1.71</v>
      </c>
      <c r="Q98" s="2504"/>
      <c r="R98" s="2116"/>
      <c r="S98" s="2116"/>
      <c r="T98" s="2504"/>
      <c r="U98" s="2117"/>
      <c r="V98" s="2553"/>
      <c r="W98" s="1761">
        <v>1.69</v>
      </c>
      <c r="X98" s="2504"/>
      <c r="Y98" s="2116"/>
      <c r="Z98" s="2116"/>
      <c r="AA98" s="2504"/>
      <c r="AB98" s="2117"/>
      <c r="AC98" s="2560"/>
      <c r="AD98" s="1761">
        <f>XM.HN!E68</f>
        <v>0</v>
      </c>
      <c r="AE98" s="2504"/>
      <c r="AF98" s="2116"/>
      <c r="AG98" s="2116"/>
      <c r="AH98" s="2504"/>
      <c r="AI98" s="2117"/>
      <c r="AJ98" s="2560"/>
      <c r="AK98" s="1761">
        <f>XM.HN!F68</f>
        <v>0</v>
      </c>
      <c r="AL98" s="2504"/>
      <c r="AM98" s="2116"/>
      <c r="AN98" s="2116"/>
      <c r="AO98" s="2504"/>
      <c r="AP98" s="2117"/>
      <c r="AQ98" s="2560"/>
      <c r="AR98" s="1761">
        <f>XM.HN!G68</f>
        <v>0</v>
      </c>
      <c r="AS98" s="2114"/>
      <c r="AT98" s="2115"/>
      <c r="AU98" s="2115"/>
      <c r="AV98" s="2115"/>
      <c r="AW98" s="2118"/>
      <c r="AZ98" s="1731">
        <v>1.75</v>
      </c>
    </row>
    <row r="99" spans="1:57" ht="33" customHeight="1">
      <c r="A99" s="1310" t="s">
        <v>306</v>
      </c>
      <c r="B99" s="1311" t="s">
        <v>126</v>
      </c>
      <c r="C99" s="2122" t="s">
        <v>192</v>
      </c>
      <c r="D99" s="2123" t="s">
        <v>4</v>
      </c>
      <c r="E99" s="2124" t="str">
        <f>'XM.GUI MAIL'!E99</f>
        <v>5~6</v>
      </c>
      <c r="F99" s="2125" t="str">
        <f>'XM.GUI MAIL'!F99</f>
        <v>(5.5± 0.5)</v>
      </c>
      <c r="G99" s="2126">
        <f>'XM.GUI MAIL'!G99</f>
        <v>5.5</v>
      </c>
      <c r="H99" s="2127">
        <f>XM.HN!B71</f>
        <v>0</v>
      </c>
      <c r="I99" s="2109">
        <f>H99*1.3</f>
        <v>0</v>
      </c>
      <c r="J99" s="2480">
        <f>($G$99-I99)*8000/1000</f>
        <v>44</v>
      </c>
      <c r="K99" s="2129" t="s">
        <v>8</v>
      </c>
      <c r="L99" s="2130">
        <f t="shared" ref="L99:L100" si="51">IF(J99&lt;0,0,J99)</f>
        <v>44</v>
      </c>
      <c r="M99" s="2500"/>
      <c r="N99" s="2132" t="s">
        <v>9</v>
      </c>
      <c r="O99" s="2534">
        <f>XM.HN!C71</f>
        <v>0</v>
      </c>
      <c r="P99" s="2109">
        <f>O99*1.3</f>
        <v>0</v>
      </c>
      <c r="Q99" s="2480">
        <f>($G$99-P99)*8000/1000</f>
        <v>44</v>
      </c>
      <c r="R99" s="2129" t="s">
        <v>8</v>
      </c>
      <c r="S99" s="2130">
        <f t="shared" ref="S99:S100" si="52">IF(Q99&lt;0,0,Q99)</f>
        <v>44</v>
      </c>
      <c r="T99" s="2500"/>
      <c r="U99" s="2132" t="s">
        <v>9</v>
      </c>
      <c r="V99" s="2534">
        <f>XM.HN!D71</f>
        <v>0</v>
      </c>
      <c r="W99" s="2109">
        <f>V99*1.3</f>
        <v>0</v>
      </c>
      <c r="X99" s="2480">
        <f>($G$99-W99)*8000/1000</f>
        <v>44</v>
      </c>
      <c r="Y99" s="2129" t="s">
        <v>8</v>
      </c>
      <c r="Z99" s="2130">
        <f t="shared" ref="Z99:Z100" si="53">IF(X99&lt;0,0,X99)</f>
        <v>44</v>
      </c>
      <c r="AA99" s="2500"/>
      <c r="AB99" s="2132" t="s">
        <v>9</v>
      </c>
      <c r="AC99" s="2561">
        <f>XM.HN!E71</f>
        <v>0</v>
      </c>
      <c r="AD99" s="2109">
        <f>AC99*1.3</f>
        <v>0</v>
      </c>
      <c r="AE99" s="2480">
        <f>($G$99-AD99)*8000/1000</f>
        <v>44</v>
      </c>
      <c r="AF99" s="2129" t="s">
        <v>8</v>
      </c>
      <c r="AG99" s="2130">
        <f t="shared" ref="AG99:AG100" si="54">IF(AE99&lt;0,0,AE99)</f>
        <v>44</v>
      </c>
      <c r="AH99" s="2500"/>
      <c r="AI99" s="2132"/>
      <c r="AJ99" s="2573">
        <f>XM.HN!F71</f>
        <v>0</v>
      </c>
      <c r="AK99" s="2109">
        <f>AJ99*1.3</f>
        <v>0</v>
      </c>
      <c r="AL99" s="2480">
        <f>($G$99-AK99)*8000/1000</f>
        <v>44</v>
      </c>
      <c r="AM99" s="2129" t="s">
        <v>8</v>
      </c>
      <c r="AN99" s="2130">
        <f t="shared" ref="AN99:AN100" si="55">IF(AL99&lt;0,0,AL99)</f>
        <v>44</v>
      </c>
      <c r="AO99" s="2500"/>
      <c r="AP99" s="2132" t="s">
        <v>9</v>
      </c>
      <c r="AQ99" s="2580">
        <f>XM.HN!G71</f>
        <v>0</v>
      </c>
      <c r="AR99" s="2109">
        <f>AQ99*1.3</f>
        <v>0</v>
      </c>
      <c r="AS99" s="2128">
        <f>($G$99-AR99)*8000/1000</f>
        <v>44</v>
      </c>
      <c r="AT99" s="2129" t="s">
        <v>8</v>
      </c>
      <c r="AU99" s="2130">
        <f t="shared" ref="AU99:AU100" si="56">IF(AS99&lt;0,0,AS99)</f>
        <v>44</v>
      </c>
      <c r="AV99" s="2131"/>
      <c r="AW99" s="2133" t="s">
        <v>9</v>
      </c>
      <c r="AZ99" s="1726">
        <v>5.33</v>
      </c>
      <c r="BA99" s="264">
        <v>1.3599999999999997</v>
      </c>
      <c r="BB99" s="264" t="s">
        <v>8</v>
      </c>
      <c r="BC99" s="264">
        <v>1.3599999999999997</v>
      </c>
      <c r="BE99" s="264" t="s">
        <v>9</v>
      </c>
    </row>
    <row r="100" spans="1:57" ht="33" customHeight="1">
      <c r="A100" s="1310" t="s">
        <v>307</v>
      </c>
      <c r="B100" s="1311" t="s">
        <v>126</v>
      </c>
      <c r="C100" s="2134" t="s">
        <v>191</v>
      </c>
      <c r="D100" s="207" t="s">
        <v>4</v>
      </c>
      <c r="E100" s="13" t="str">
        <f>'XM.GUI MAIL'!E100</f>
        <v>130~140</v>
      </c>
      <c r="F100" s="1896" t="str">
        <f>'XM.GUI MAIL'!F100</f>
        <v>(135 ± 5)</v>
      </c>
      <c r="G100" s="1065">
        <f>'XM.GUI MAIL'!G100</f>
        <v>135</v>
      </c>
      <c r="H100" s="86">
        <f>XM.HN!B72</f>
        <v>0</v>
      </c>
      <c r="I100" s="1775">
        <f>H100*8</f>
        <v>0</v>
      </c>
      <c r="J100" s="2465">
        <f>($G$100-I100)*8000/1000</f>
        <v>1080</v>
      </c>
      <c r="K100" s="1738" t="s">
        <v>8</v>
      </c>
      <c r="L100" s="1739">
        <f t="shared" si="51"/>
        <v>1080</v>
      </c>
      <c r="M100" s="2501"/>
      <c r="N100" s="1740" t="s">
        <v>9</v>
      </c>
      <c r="O100" s="2535">
        <f>XM.HN!C72</f>
        <v>0</v>
      </c>
      <c r="P100" s="1775">
        <f>O100*8</f>
        <v>0</v>
      </c>
      <c r="Q100" s="2465">
        <f>($G$100-P100)*8000/1000</f>
        <v>1080</v>
      </c>
      <c r="R100" s="1738" t="s">
        <v>8</v>
      </c>
      <c r="S100" s="1739">
        <f t="shared" si="52"/>
        <v>1080</v>
      </c>
      <c r="T100" s="2501"/>
      <c r="U100" s="1740" t="s">
        <v>9</v>
      </c>
      <c r="V100" s="2535">
        <f>XM.HN!D72</f>
        <v>0</v>
      </c>
      <c r="W100" s="1775">
        <f>V100*8</f>
        <v>0</v>
      </c>
      <c r="X100" s="2465">
        <f>($G$100-W100)*8000/1000</f>
        <v>1080</v>
      </c>
      <c r="Y100" s="1738" t="s">
        <v>8</v>
      </c>
      <c r="Z100" s="1739">
        <f t="shared" si="53"/>
        <v>1080</v>
      </c>
      <c r="AA100" s="2501"/>
      <c r="AB100" s="1740" t="s">
        <v>9</v>
      </c>
      <c r="AC100" s="2562">
        <f>XM.HN!E72</f>
        <v>0</v>
      </c>
      <c r="AD100" s="1775">
        <f>AC100*8</f>
        <v>0</v>
      </c>
      <c r="AE100" s="2465">
        <f>($G$100-AD100)*8000/1000</f>
        <v>1080</v>
      </c>
      <c r="AF100" s="1738" t="s">
        <v>8</v>
      </c>
      <c r="AG100" s="1739">
        <f t="shared" si="54"/>
        <v>1080</v>
      </c>
      <c r="AH100" s="2501"/>
      <c r="AI100" s="1740"/>
      <c r="AJ100" s="2517">
        <f>XM.HN!F72</f>
        <v>0</v>
      </c>
      <c r="AK100" s="1775">
        <f>AJ100*8</f>
        <v>0</v>
      </c>
      <c r="AL100" s="2465">
        <f>($G$100-AK100)*8000/1000</f>
        <v>1080</v>
      </c>
      <c r="AM100" s="1738" t="s">
        <v>8</v>
      </c>
      <c r="AN100" s="1739">
        <f t="shared" si="55"/>
        <v>1080</v>
      </c>
      <c r="AO100" s="2501"/>
      <c r="AP100" s="1740" t="s">
        <v>9</v>
      </c>
      <c r="AQ100" s="2518">
        <f>XM.HN!G72</f>
        <v>0</v>
      </c>
      <c r="AR100" s="1775">
        <f>AQ100*8</f>
        <v>0</v>
      </c>
      <c r="AS100" s="1751">
        <f>($G$100-AR100)*8000/1000</f>
        <v>1080</v>
      </c>
      <c r="AT100" s="1738" t="s">
        <v>8</v>
      </c>
      <c r="AU100" s="1739">
        <f t="shared" si="56"/>
        <v>1080</v>
      </c>
      <c r="AV100" s="1769"/>
      <c r="AW100" s="2135" t="s">
        <v>9</v>
      </c>
      <c r="AZ100" s="1873">
        <v>134</v>
      </c>
      <c r="BA100" s="264">
        <v>8</v>
      </c>
      <c r="BB100" s="264" t="s">
        <v>8</v>
      </c>
      <c r="BC100" s="264">
        <v>8</v>
      </c>
      <c r="BE100" s="264" t="s">
        <v>9</v>
      </c>
    </row>
    <row r="101" spans="1:57" ht="36" customHeight="1">
      <c r="A101" s="1310" t="s">
        <v>308</v>
      </c>
      <c r="B101" s="1311" t="s">
        <v>126</v>
      </c>
      <c r="C101" s="2774" t="s">
        <v>193</v>
      </c>
      <c r="D101" s="207" t="s">
        <v>119</v>
      </c>
      <c r="E101" s="13" t="str">
        <f>'XM.GUI MAIL'!E101</f>
        <v>3.0-4.5</v>
      </c>
      <c r="F101" s="1896" t="str">
        <f>'XM.GUI MAIL'!F101</f>
        <v>(4.3±0.2)</v>
      </c>
      <c r="G101" s="1065">
        <f>'XM.GUI MAIL'!G101</f>
        <v>0</v>
      </c>
      <c r="H101" s="86"/>
      <c r="I101" s="1731">
        <f>XM.HN!B73</f>
        <v>0</v>
      </c>
      <c r="J101" s="2482"/>
      <c r="K101" s="2061"/>
      <c r="L101" s="2062"/>
      <c r="M101" s="2503"/>
      <c r="N101" s="2063"/>
      <c r="O101" s="2540"/>
      <c r="P101" s="1731">
        <f>XM.HN!C73</f>
        <v>0</v>
      </c>
      <c r="Q101" s="2482"/>
      <c r="R101" s="2061"/>
      <c r="S101" s="2062"/>
      <c r="T101" s="2503"/>
      <c r="U101" s="2063"/>
      <c r="V101" s="2540"/>
      <c r="W101" s="1731">
        <f>XM.HN!D73</f>
        <v>0</v>
      </c>
      <c r="X101" s="2482"/>
      <c r="Y101" s="2061"/>
      <c r="Z101" s="2062"/>
      <c r="AA101" s="2503"/>
      <c r="AB101" s="2064"/>
      <c r="AC101" s="2567"/>
      <c r="AD101" s="1731">
        <f>XM.HN!E73</f>
        <v>0</v>
      </c>
      <c r="AE101" s="2482"/>
      <c r="AF101" s="2061"/>
      <c r="AG101" s="2062"/>
      <c r="AH101" s="2503"/>
      <c r="AI101" s="2063"/>
      <c r="AJ101" s="2567"/>
      <c r="AK101" s="1731">
        <f>XM.HN!F73</f>
        <v>0</v>
      </c>
      <c r="AL101" s="2482"/>
      <c r="AM101" s="2061"/>
      <c r="AN101" s="2062"/>
      <c r="AO101" s="2503"/>
      <c r="AP101" s="2063"/>
      <c r="AQ101" s="2581"/>
      <c r="AR101" s="1731">
        <f>XM.HN!G73</f>
        <v>0</v>
      </c>
      <c r="AS101" s="1752"/>
      <c r="AT101" s="1762"/>
      <c r="AU101" s="1729"/>
      <c r="AV101" s="1776"/>
      <c r="AW101" s="2775"/>
      <c r="AZ101" s="1731">
        <v>4.21</v>
      </c>
    </row>
    <row r="102" spans="1:57" ht="40.5" customHeight="1" thickBot="1">
      <c r="A102" s="2766"/>
      <c r="B102" s="2767"/>
      <c r="C102" s="2769" t="s">
        <v>1629</v>
      </c>
      <c r="D102" s="2770" t="s">
        <v>1628</v>
      </c>
      <c r="E102" s="2771">
        <f>'XM.GUI MAIL'!E103</f>
        <v>0</v>
      </c>
      <c r="F102" s="2772">
        <f>'XM.GUI MAIL'!F103</f>
        <v>0</v>
      </c>
      <c r="G102" s="2773">
        <v>60</v>
      </c>
      <c r="H102" s="2136">
        <f>XM.HN!B74</f>
        <v>0</v>
      </c>
      <c r="I102" s="2776">
        <f>H102*5*0.1*36.6-10%*H102*5*0.1*36.6</f>
        <v>0</v>
      </c>
      <c r="J102" s="2777">
        <f>($G$102-I102)*3360/1000</f>
        <v>201.6</v>
      </c>
      <c r="K102" s="2778" t="s">
        <v>8</v>
      </c>
      <c r="L102" s="2779">
        <f t="shared" ref="L102" si="57">IF(J102&lt;0,0,J102)</f>
        <v>201.6</v>
      </c>
      <c r="M102" s="2780"/>
      <c r="N102" s="2781" t="s">
        <v>9</v>
      </c>
      <c r="O102" s="2782">
        <f>XM.HN!C74</f>
        <v>0</v>
      </c>
      <c r="P102" s="2776">
        <f>O102*5*0.1*36.6-10%*O102*5*0.1*36.6</f>
        <v>0</v>
      </c>
      <c r="Q102" s="2777">
        <f>($G$102-P102)*3360/1000</f>
        <v>201.6</v>
      </c>
      <c r="R102" s="2778" t="s">
        <v>8</v>
      </c>
      <c r="S102" s="2779">
        <f t="shared" ref="S102" si="58">IF(Q102&lt;0,0,Q102)</f>
        <v>201.6</v>
      </c>
      <c r="T102" s="2780"/>
      <c r="U102" s="2781" t="s">
        <v>9</v>
      </c>
      <c r="V102" s="2782">
        <f>XM.HN!D74</f>
        <v>0</v>
      </c>
      <c r="W102" s="2776">
        <f>V102*5*0.1*36.6-10%*V102*5*0.1*36.6</f>
        <v>0</v>
      </c>
      <c r="X102" s="2777">
        <f>($G$102-W102)*3360/1000</f>
        <v>201.6</v>
      </c>
      <c r="Y102" s="2778" t="s">
        <v>8</v>
      </c>
      <c r="Z102" s="2779">
        <f t="shared" ref="Z102" si="59">IF(X102&lt;0,0,X102)</f>
        <v>201.6</v>
      </c>
      <c r="AA102" s="2780"/>
      <c r="AB102" s="2781" t="s">
        <v>9</v>
      </c>
      <c r="AC102" s="2783">
        <f>XM.HN!E74</f>
        <v>0</v>
      </c>
      <c r="AD102" s="2776">
        <f>AC102*5*0.1*36.6-10%*AC102*5*0.1*36.6</f>
        <v>0</v>
      </c>
      <c r="AE102" s="2777">
        <f>($G$102-AD102)*3360/1000</f>
        <v>201.6</v>
      </c>
      <c r="AF102" s="2778" t="s">
        <v>8</v>
      </c>
      <c r="AG102" s="2779">
        <f t="shared" ref="AG102" si="60">IF(AE102&lt;0,0,AE102)</f>
        <v>201.6</v>
      </c>
      <c r="AH102" s="2780"/>
      <c r="AI102" s="2781" t="s">
        <v>9</v>
      </c>
      <c r="AJ102" s="2784">
        <f>XM.HN!F74</f>
        <v>0</v>
      </c>
      <c r="AK102" s="2776">
        <f>AJ102*5*0.1*36.6-10%*AJ102*5*0.1*36.6</f>
        <v>0</v>
      </c>
      <c r="AL102" s="2777">
        <f>($G$102-AK102)*3360/1000</f>
        <v>201.6</v>
      </c>
      <c r="AM102" s="2778" t="s">
        <v>8</v>
      </c>
      <c r="AN102" s="2779">
        <f t="shared" ref="AN102" si="61">IF(AL102&lt;0,0,AL102)</f>
        <v>201.6</v>
      </c>
      <c r="AO102" s="2780"/>
      <c r="AP102" s="2781" t="s">
        <v>9</v>
      </c>
      <c r="AQ102" s="2785">
        <f>XM.HN!G74</f>
        <v>0</v>
      </c>
      <c r="AR102" s="2776">
        <f>AQ102*5*0.1*36.6-10%*AQ102*5*0.1*36.6</f>
        <v>0</v>
      </c>
      <c r="AS102" s="2777">
        <f>($G$102-AR102)*3360/1000</f>
        <v>201.6</v>
      </c>
      <c r="AT102" s="2778" t="s">
        <v>8</v>
      </c>
      <c r="AU102" s="2779">
        <f t="shared" ref="AU102" si="62">IF(AS102&lt;0,0,AS102)</f>
        <v>201.6</v>
      </c>
      <c r="AV102" s="2780"/>
      <c r="AW102" s="2794" t="s">
        <v>9</v>
      </c>
      <c r="AZ102" s="1041">
        <v>0</v>
      </c>
      <c r="BA102" s="264">
        <v>201.6</v>
      </c>
      <c r="BB102" s="264" t="s">
        <v>8</v>
      </c>
      <c r="BC102" s="264">
        <v>201.6</v>
      </c>
      <c r="BE102" s="264" t="s">
        <v>9</v>
      </c>
    </row>
    <row r="103" spans="1:57" s="205" customFormat="1" ht="54" customHeight="1">
      <c r="A103" s="284" t="s">
        <v>72</v>
      </c>
      <c r="B103" s="285"/>
      <c r="C103" s="1399"/>
      <c r="D103" s="1399"/>
      <c r="E103" s="2119"/>
      <c r="F103" s="2120"/>
      <c r="G103" s="2119"/>
      <c r="H103" s="1399"/>
      <c r="I103" s="1399"/>
      <c r="J103" s="2468"/>
      <c r="K103" s="1399"/>
      <c r="L103" s="1399"/>
      <c r="M103" s="2468"/>
      <c r="N103" s="1399"/>
      <c r="O103" s="2468"/>
      <c r="P103" s="286"/>
      <c r="Q103" s="2468"/>
      <c r="R103" s="1399"/>
      <c r="S103" s="1399"/>
      <c r="T103" s="2505"/>
      <c r="U103" s="286"/>
      <c r="V103" s="2468"/>
      <c r="W103" s="286"/>
      <c r="X103" s="2468"/>
      <c r="Y103" s="1399"/>
      <c r="Z103" s="1399"/>
      <c r="AA103" s="2468"/>
      <c r="AB103" s="1399"/>
      <c r="AC103" s="2468"/>
      <c r="AD103" s="1399"/>
      <c r="AE103" s="2468"/>
      <c r="AF103" s="1399"/>
      <c r="AG103" s="1399"/>
      <c r="AH103" s="2468"/>
      <c r="AI103" s="1399"/>
      <c r="AJ103" s="2569"/>
      <c r="AK103" s="286"/>
      <c r="AL103" s="2569"/>
      <c r="AM103" s="286"/>
      <c r="AN103" s="286"/>
      <c r="AO103" s="2569"/>
      <c r="AP103" s="286"/>
      <c r="AQ103" s="2569"/>
      <c r="AR103" s="286"/>
      <c r="AS103" s="286"/>
      <c r="AT103" s="286"/>
      <c r="AU103" s="286"/>
      <c r="AV103" s="286"/>
      <c r="AW103" s="2121"/>
      <c r="AX103" s="2075"/>
      <c r="AY103" s="2075"/>
      <c r="AZ103" s="264"/>
      <c r="BA103" s="88"/>
      <c r="BB103" s="88"/>
    </row>
    <row r="104" spans="1:57" ht="48" customHeight="1">
      <c r="A104" s="999" t="s">
        <v>236</v>
      </c>
      <c r="B104" s="992" t="s">
        <v>315</v>
      </c>
      <c r="C104" s="277" t="s">
        <v>60</v>
      </c>
      <c r="D104" s="277" t="s">
        <v>62</v>
      </c>
      <c r="E104" s="1382" t="s">
        <v>1290</v>
      </c>
      <c r="F104" s="1888" t="s">
        <v>1289</v>
      </c>
      <c r="G104" s="1120"/>
      <c r="H104" s="89"/>
      <c r="I104" s="1720" t="s">
        <v>45</v>
      </c>
      <c r="J104" s="2469"/>
      <c r="K104" s="1721"/>
      <c r="L104" s="1721" t="s">
        <v>61</v>
      </c>
      <c r="M104" s="2469"/>
      <c r="N104" s="1773"/>
      <c r="O104" s="2529"/>
      <c r="P104" s="1720" t="s">
        <v>45</v>
      </c>
      <c r="Q104" s="2469"/>
      <c r="R104" s="1721"/>
      <c r="S104" s="1721" t="s">
        <v>61</v>
      </c>
      <c r="T104" s="2469"/>
      <c r="U104" s="2045"/>
      <c r="V104" s="2554"/>
      <c r="W104" s="1721" t="s">
        <v>45</v>
      </c>
      <c r="X104" s="2469"/>
      <c r="Y104" s="1721"/>
      <c r="Z104" s="1721" t="s">
        <v>61</v>
      </c>
      <c r="AA104" s="2508"/>
      <c r="AB104" s="2047"/>
      <c r="AC104" s="2563"/>
      <c r="AD104" s="1721" t="s">
        <v>45</v>
      </c>
      <c r="AE104" s="2469"/>
      <c r="AF104" s="1721"/>
      <c r="AG104" s="1773" t="s">
        <v>61</v>
      </c>
      <c r="AH104" s="2554"/>
      <c r="AI104" s="2045"/>
      <c r="AJ104" s="2563"/>
      <c r="AK104" s="1721" t="s">
        <v>45</v>
      </c>
      <c r="AL104" s="2469"/>
      <c r="AM104" s="1773"/>
      <c r="AN104" s="2046" t="s">
        <v>61</v>
      </c>
      <c r="AO104" s="2469"/>
      <c r="AP104" s="2045"/>
      <c r="AQ104" s="2563"/>
      <c r="AR104" s="1721" t="s">
        <v>45</v>
      </c>
      <c r="AS104" s="1773"/>
      <c r="AT104" s="1720"/>
      <c r="AU104" s="1721" t="s">
        <v>61</v>
      </c>
      <c r="AV104" s="1721"/>
      <c r="AW104" s="2045"/>
    </row>
    <row r="105" spans="1:57" ht="36.75" customHeight="1">
      <c r="A105" s="993" t="s">
        <v>297</v>
      </c>
      <c r="B105" s="993" t="s">
        <v>126</v>
      </c>
      <c r="C105" s="1346" t="s">
        <v>64</v>
      </c>
      <c r="D105" s="94" t="s">
        <v>104</v>
      </c>
      <c r="E105" s="97" t="str">
        <f>'XM.GUI MAIL'!E105</f>
        <v>50~70</v>
      </c>
      <c r="F105" s="1889" t="str">
        <f>'XM.GUI MAIL'!F105</f>
        <v>(60±5)</v>
      </c>
      <c r="G105" s="415"/>
      <c r="H105" s="95"/>
      <c r="I105" s="3095">
        <v>58</v>
      </c>
      <c r="J105" s="3086"/>
      <c r="K105" s="3086"/>
      <c r="L105" s="3086">
        <v>58</v>
      </c>
      <c r="M105" s="3086"/>
      <c r="N105" s="3097"/>
      <c r="O105" s="2521"/>
      <c r="P105" s="3095">
        <v>58</v>
      </c>
      <c r="Q105" s="3086"/>
      <c r="R105" s="3086"/>
      <c r="S105" s="3086">
        <v>58</v>
      </c>
      <c r="T105" s="3086"/>
      <c r="U105" s="3097"/>
      <c r="V105" s="2522"/>
      <c r="W105" s="3095">
        <v>58</v>
      </c>
      <c r="X105" s="3086"/>
      <c r="Y105" s="3086"/>
      <c r="Z105" s="3086">
        <v>58</v>
      </c>
      <c r="AA105" s="3086"/>
      <c r="AB105" s="3097"/>
      <c r="AC105" s="2522"/>
      <c r="AD105" s="3095"/>
      <c r="AE105" s="3086"/>
      <c r="AF105" s="3086"/>
      <c r="AG105" s="3086"/>
      <c r="AH105" s="3086"/>
      <c r="AI105" s="3087"/>
      <c r="AJ105" s="2572"/>
      <c r="AK105" s="3095"/>
      <c r="AL105" s="3086"/>
      <c r="AM105" s="3086"/>
      <c r="AN105" s="3086"/>
      <c r="AO105" s="3086"/>
      <c r="AP105" s="3087"/>
      <c r="AQ105" s="2572"/>
      <c r="AR105" s="3095"/>
      <c r="AS105" s="3086"/>
      <c r="AT105" s="3086"/>
      <c r="AU105" s="3086"/>
      <c r="AV105" s="3086"/>
      <c r="AW105" s="3087"/>
    </row>
    <row r="106" spans="1:57" ht="36.75" customHeight="1">
      <c r="A106" s="993" t="s">
        <v>298</v>
      </c>
      <c r="B106" s="993" t="s">
        <v>126</v>
      </c>
      <c r="C106" s="1346" t="s">
        <v>65</v>
      </c>
      <c r="D106" s="94" t="s">
        <v>104</v>
      </c>
      <c r="E106" s="97" t="str">
        <f>'XM.GUI MAIL'!E106</f>
        <v>50~70</v>
      </c>
      <c r="F106" s="1889" t="str">
        <f>'XM.GUI MAIL'!F106</f>
        <v>(60±5)</v>
      </c>
      <c r="G106" s="415"/>
      <c r="H106" s="95"/>
      <c r="I106" s="3095">
        <v>58</v>
      </c>
      <c r="J106" s="3086"/>
      <c r="K106" s="3086"/>
      <c r="L106" s="3086">
        <v>58</v>
      </c>
      <c r="M106" s="3086"/>
      <c r="N106" s="3097"/>
      <c r="O106" s="2521"/>
      <c r="P106" s="3095">
        <v>58</v>
      </c>
      <c r="Q106" s="3086"/>
      <c r="R106" s="3086"/>
      <c r="S106" s="3086">
        <v>58</v>
      </c>
      <c r="T106" s="3086"/>
      <c r="U106" s="3097"/>
      <c r="V106" s="2522"/>
      <c r="W106" s="3095">
        <v>59</v>
      </c>
      <c r="X106" s="3086"/>
      <c r="Y106" s="3086"/>
      <c r="Z106" s="3086">
        <v>58</v>
      </c>
      <c r="AA106" s="3086"/>
      <c r="AB106" s="3097"/>
      <c r="AC106" s="2522"/>
      <c r="AD106" s="3095"/>
      <c r="AE106" s="3086"/>
      <c r="AF106" s="3086"/>
      <c r="AG106" s="3086"/>
      <c r="AH106" s="3086"/>
      <c r="AI106" s="3087"/>
      <c r="AJ106" s="2572"/>
      <c r="AK106" s="3095"/>
      <c r="AL106" s="3086"/>
      <c r="AM106" s="3086"/>
      <c r="AN106" s="3086"/>
      <c r="AO106" s="3086"/>
      <c r="AP106" s="3087"/>
      <c r="AQ106" s="2572"/>
      <c r="AR106" s="3095"/>
      <c r="AS106" s="3086"/>
      <c r="AT106" s="3086"/>
      <c r="AU106" s="3086"/>
      <c r="AV106" s="3086"/>
      <c r="AW106" s="3087"/>
    </row>
    <row r="107" spans="1:57" ht="36.75" customHeight="1">
      <c r="A107" s="993" t="s">
        <v>299</v>
      </c>
      <c r="B107" s="993" t="s">
        <v>126</v>
      </c>
      <c r="C107" s="1346" t="s">
        <v>67</v>
      </c>
      <c r="D107" s="94" t="s">
        <v>104</v>
      </c>
      <c r="E107" s="97" t="str">
        <f>'XM.GUI MAIL'!E107</f>
        <v>50~70</v>
      </c>
      <c r="F107" s="1889" t="str">
        <f>'XM.GUI MAIL'!F107</f>
        <v>(60±5)</v>
      </c>
      <c r="G107" s="415"/>
      <c r="H107" s="95"/>
      <c r="I107" s="3095">
        <v>59</v>
      </c>
      <c r="J107" s="3086"/>
      <c r="K107" s="3086"/>
      <c r="L107" s="3086">
        <v>58</v>
      </c>
      <c r="M107" s="3086"/>
      <c r="N107" s="3097"/>
      <c r="O107" s="2521"/>
      <c r="P107" s="3095">
        <v>58</v>
      </c>
      <c r="Q107" s="3086"/>
      <c r="R107" s="3086"/>
      <c r="S107" s="3086">
        <v>59</v>
      </c>
      <c r="T107" s="3086"/>
      <c r="U107" s="3097"/>
      <c r="V107" s="2522"/>
      <c r="W107" s="3095">
        <v>59</v>
      </c>
      <c r="X107" s="3086"/>
      <c r="Y107" s="3086"/>
      <c r="Z107" s="3086">
        <v>58</v>
      </c>
      <c r="AA107" s="3086"/>
      <c r="AB107" s="3097"/>
      <c r="AC107" s="2522"/>
      <c r="AD107" s="3095"/>
      <c r="AE107" s="3086"/>
      <c r="AF107" s="3086"/>
      <c r="AG107" s="3086"/>
      <c r="AH107" s="3086"/>
      <c r="AI107" s="3087"/>
      <c r="AJ107" s="2572"/>
      <c r="AK107" s="3095"/>
      <c r="AL107" s="3086"/>
      <c r="AM107" s="3086"/>
      <c r="AN107" s="3086"/>
      <c r="AO107" s="3086"/>
      <c r="AP107" s="3087"/>
      <c r="AQ107" s="2572"/>
      <c r="AR107" s="3095"/>
      <c r="AS107" s="3086"/>
      <c r="AT107" s="3086"/>
      <c r="AU107" s="3086"/>
      <c r="AV107" s="3086"/>
      <c r="AW107" s="3087"/>
    </row>
    <row r="108" spans="1:57" ht="36.75" customHeight="1">
      <c r="A108" s="993" t="s">
        <v>300</v>
      </c>
      <c r="B108" s="993" t="s">
        <v>126</v>
      </c>
      <c r="C108" s="1346" t="s">
        <v>66</v>
      </c>
      <c r="D108" s="94" t="s">
        <v>104</v>
      </c>
      <c r="E108" s="97" t="str">
        <f>'XM.GUI MAIL'!E108</f>
        <v>50~70</v>
      </c>
      <c r="F108" s="1889" t="str">
        <f>'XM.GUI MAIL'!F108</f>
        <v>(60±5)</v>
      </c>
      <c r="G108" s="1336"/>
      <c r="H108" s="92"/>
      <c r="I108" s="3095">
        <v>59</v>
      </c>
      <c r="J108" s="3086"/>
      <c r="K108" s="3086"/>
      <c r="L108" s="3086">
        <v>58</v>
      </c>
      <c r="M108" s="3086"/>
      <c r="N108" s="3097"/>
      <c r="O108" s="2521"/>
      <c r="P108" s="3095">
        <v>59</v>
      </c>
      <c r="Q108" s="3086"/>
      <c r="R108" s="3086"/>
      <c r="S108" s="3086">
        <v>59</v>
      </c>
      <c r="T108" s="3086"/>
      <c r="U108" s="3097"/>
      <c r="V108" s="2522"/>
      <c r="W108" s="3095">
        <v>58</v>
      </c>
      <c r="X108" s="3086"/>
      <c r="Y108" s="3086"/>
      <c r="Z108" s="3086">
        <v>58</v>
      </c>
      <c r="AA108" s="3086"/>
      <c r="AB108" s="3097"/>
      <c r="AC108" s="2522"/>
      <c r="AD108" s="3095"/>
      <c r="AE108" s="3086"/>
      <c r="AF108" s="3086"/>
      <c r="AG108" s="3086"/>
      <c r="AH108" s="3086"/>
      <c r="AI108" s="3087"/>
      <c r="AJ108" s="2572"/>
      <c r="AK108" s="3095"/>
      <c r="AL108" s="3086"/>
      <c r="AM108" s="3086"/>
      <c r="AN108" s="3086"/>
      <c r="AO108" s="3086"/>
      <c r="AP108" s="3087"/>
      <c r="AQ108" s="2572"/>
      <c r="AR108" s="3095"/>
      <c r="AS108" s="3086"/>
      <c r="AT108" s="3086"/>
      <c r="AU108" s="3086"/>
      <c r="AV108" s="3086"/>
      <c r="AW108" s="3087"/>
    </row>
    <row r="109" spans="1:57" ht="36.75" customHeight="1">
      <c r="A109" s="993" t="s">
        <v>311</v>
      </c>
      <c r="B109" s="993" t="s">
        <v>126</v>
      </c>
      <c r="C109" s="1346" t="s">
        <v>68</v>
      </c>
      <c r="D109" s="94" t="s">
        <v>104</v>
      </c>
      <c r="E109" s="97" t="str">
        <f>'XM.GUI MAIL'!E109</f>
        <v>22~28</v>
      </c>
      <c r="F109" s="1897" t="str">
        <f>'XM.GUI MAIL'!F109</f>
        <v>(25±3)</v>
      </c>
      <c r="G109" s="415"/>
      <c r="H109" s="95"/>
      <c r="I109" s="3107">
        <v>25</v>
      </c>
      <c r="J109" s="3108"/>
      <c r="K109" s="3108"/>
      <c r="L109" s="3108">
        <v>24</v>
      </c>
      <c r="M109" s="3108"/>
      <c r="N109" s="3108"/>
      <c r="O109" s="3109"/>
      <c r="P109" s="3107">
        <v>26</v>
      </c>
      <c r="Q109" s="3108"/>
      <c r="R109" s="3108"/>
      <c r="S109" s="3108">
        <v>25</v>
      </c>
      <c r="T109" s="3108"/>
      <c r="U109" s="3108"/>
      <c r="V109" s="3109"/>
      <c r="W109" s="3107">
        <v>25</v>
      </c>
      <c r="X109" s="3108"/>
      <c r="Y109" s="3108"/>
      <c r="Z109" s="3108">
        <v>24</v>
      </c>
      <c r="AA109" s="3108"/>
      <c r="AB109" s="3108"/>
      <c r="AC109" s="3109"/>
      <c r="AD109" s="3107"/>
      <c r="AE109" s="3108"/>
      <c r="AF109" s="3108"/>
      <c r="AG109" s="3108"/>
      <c r="AH109" s="3108"/>
      <c r="AI109" s="3108"/>
      <c r="AJ109" s="3109"/>
      <c r="AK109" s="3107"/>
      <c r="AL109" s="3108"/>
      <c r="AM109" s="3108"/>
      <c r="AN109" s="3108"/>
      <c r="AO109" s="3108"/>
      <c r="AP109" s="3108"/>
      <c r="AQ109" s="3109"/>
      <c r="AR109" s="3107"/>
      <c r="AS109" s="3108"/>
      <c r="AT109" s="3108"/>
      <c r="AU109" s="3108"/>
      <c r="AV109" s="3108"/>
      <c r="AW109" s="3109"/>
    </row>
    <row r="110" spans="1:57" ht="36.75" customHeight="1">
      <c r="A110" s="274" t="s">
        <v>301</v>
      </c>
      <c r="B110" s="993" t="s">
        <v>126</v>
      </c>
      <c r="C110" s="1346" t="s">
        <v>1262</v>
      </c>
      <c r="D110" s="94" t="s">
        <v>104</v>
      </c>
      <c r="E110" s="97" t="str">
        <f>'XM.GUI MAIL'!E110</f>
        <v>30~40</v>
      </c>
      <c r="F110" s="1897" t="str">
        <f>'XM.GUI MAIL'!F110</f>
        <v>(34±3)</v>
      </c>
      <c r="G110" s="415"/>
      <c r="H110" s="95"/>
      <c r="I110" s="3095">
        <v>38</v>
      </c>
      <c r="J110" s="3086"/>
      <c r="K110" s="3097"/>
      <c r="L110" s="3086">
        <v>38</v>
      </c>
      <c r="M110" s="3086"/>
      <c r="N110" s="3087"/>
      <c r="O110" s="2520"/>
      <c r="P110" s="3095">
        <v>38</v>
      </c>
      <c r="Q110" s="3086"/>
      <c r="R110" s="3097"/>
      <c r="S110" s="3086">
        <v>38</v>
      </c>
      <c r="T110" s="3086"/>
      <c r="U110" s="3087"/>
      <c r="V110" s="2550"/>
      <c r="W110" s="3095">
        <v>37</v>
      </c>
      <c r="X110" s="3086"/>
      <c r="Y110" s="3097"/>
      <c r="Z110" s="3086">
        <v>37</v>
      </c>
      <c r="AA110" s="3086"/>
      <c r="AB110" s="3087"/>
      <c r="AC110" s="2564"/>
      <c r="AD110" s="3095"/>
      <c r="AE110" s="3086"/>
      <c r="AF110" s="3097"/>
      <c r="AG110" s="3086"/>
      <c r="AH110" s="3086"/>
      <c r="AI110" s="3087"/>
      <c r="AJ110" s="2550"/>
      <c r="AK110" s="3095"/>
      <c r="AL110" s="3086"/>
      <c r="AM110" s="3097"/>
      <c r="AN110" s="3086"/>
      <c r="AO110" s="3086"/>
      <c r="AP110" s="3087"/>
      <c r="AQ110" s="2550"/>
      <c r="AR110" s="3095"/>
      <c r="AS110" s="3086"/>
      <c r="AT110" s="3097"/>
      <c r="AU110" s="3086"/>
      <c r="AV110" s="3086"/>
      <c r="AW110" s="3087"/>
    </row>
    <row r="111" spans="1:57" ht="36.75" customHeight="1">
      <c r="A111" s="274" t="s">
        <v>302</v>
      </c>
      <c r="B111" s="993" t="s">
        <v>126</v>
      </c>
      <c r="C111" s="1346" t="s">
        <v>69</v>
      </c>
      <c r="D111" s="94" t="s">
        <v>104</v>
      </c>
      <c r="E111" s="97" t="str">
        <f>'XM.GUI MAIL'!E111</f>
        <v>55~65</v>
      </c>
      <c r="F111" s="1897" t="str">
        <f>'XM.GUI MAIL'!F111</f>
        <v>(60±5)</v>
      </c>
      <c r="G111" s="415"/>
      <c r="H111" s="95"/>
      <c r="I111" s="3095">
        <v>62</v>
      </c>
      <c r="J111" s="3086"/>
      <c r="K111" s="3086"/>
      <c r="L111" s="3096">
        <v>61</v>
      </c>
      <c r="M111" s="3086"/>
      <c r="N111" s="3086"/>
      <c r="O111" s="2536"/>
      <c r="P111" s="3095">
        <v>61</v>
      </c>
      <c r="Q111" s="3086"/>
      <c r="R111" s="3086"/>
      <c r="S111" s="3096">
        <v>62</v>
      </c>
      <c r="T111" s="3086"/>
      <c r="U111" s="3086"/>
      <c r="V111" s="2536"/>
      <c r="W111" s="3095">
        <v>58</v>
      </c>
      <c r="X111" s="3086"/>
      <c r="Y111" s="3086"/>
      <c r="Z111" s="3096">
        <v>57</v>
      </c>
      <c r="AA111" s="3086"/>
      <c r="AB111" s="3086"/>
      <c r="AC111" s="2536"/>
      <c r="AD111" s="3095"/>
      <c r="AE111" s="3086"/>
      <c r="AF111" s="3086"/>
      <c r="AG111" s="3096"/>
      <c r="AH111" s="3086"/>
      <c r="AI111" s="3086"/>
      <c r="AJ111" s="2536"/>
      <c r="AK111" s="3095"/>
      <c r="AL111" s="3086"/>
      <c r="AM111" s="3086"/>
      <c r="AN111" s="3096"/>
      <c r="AO111" s="3086"/>
      <c r="AP111" s="3086"/>
      <c r="AQ111" s="2536"/>
      <c r="AR111" s="3095"/>
      <c r="AS111" s="3086"/>
      <c r="AT111" s="3086"/>
      <c r="AU111" s="3086"/>
      <c r="AV111" s="3086"/>
      <c r="AW111" s="3087"/>
    </row>
    <row r="112" spans="1:57" ht="36.75" customHeight="1">
      <c r="A112" s="44" t="s">
        <v>303</v>
      </c>
      <c r="B112" s="993" t="s">
        <v>126</v>
      </c>
      <c r="C112" s="1346" t="s">
        <v>70</v>
      </c>
      <c r="D112" s="94" t="s">
        <v>104</v>
      </c>
      <c r="E112" s="97" t="str">
        <f>'XM.GUI MAIL'!E112</f>
        <v>80~100</v>
      </c>
      <c r="F112" s="1897" t="str">
        <f>'XM.GUI MAIL'!F112</f>
        <v>(90±5)</v>
      </c>
      <c r="G112" s="415"/>
      <c r="H112" s="95"/>
      <c r="I112" s="3112" t="s">
        <v>46</v>
      </c>
      <c r="J112" s="3113"/>
      <c r="K112" s="3114"/>
      <c r="L112" s="3086">
        <v>93</v>
      </c>
      <c r="M112" s="3086"/>
      <c r="N112" s="3087"/>
      <c r="O112" s="2530"/>
      <c r="P112" s="3092" t="s">
        <v>46</v>
      </c>
      <c r="Q112" s="3093"/>
      <c r="R112" s="3094"/>
      <c r="S112" s="3086">
        <v>92</v>
      </c>
      <c r="T112" s="3086"/>
      <c r="U112" s="3087"/>
      <c r="V112" s="2530"/>
      <c r="W112" s="3092" t="s">
        <v>46</v>
      </c>
      <c r="X112" s="3093"/>
      <c r="Y112" s="3094"/>
      <c r="Z112" s="3086">
        <v>92</v>
      </c>
      <c r="AA112" s="3086"/>
      <c r="AB112" s="3087"/>
      <c r="AC112" s="2530"/>
      <c r="AD112" s="3092" t="s">
        <v>46</v>
      </c>
      <c r="AE112" s="3093"/>
      <c r="AF112" s="3094"/>
      <c r="AG112" s="3086"/>
      <c r="AH112" s="3086"/>
      <c r="AI112" s="3087"/>
      <c r="AJ112" s="2530"/>
      <c r="AK112" s="3092" t="s">
        <v>46</v>
      </c>
      <c r="AL112" s="3093"/>
      <c r="AM112" s="3094"/>
      <c r="AN112" s="3086"/>
      <c r="AO112" s="3086"/>
      <c r="AP112" s="3087"/>
      <c r="AQ112" s="2530"/>
      <c r="AR112" s="3092" t="s">
        <v>46</v>
      </c>
      <c r="AS112" s="3093"/>
      <c r="AT112" s="3094"/>
      <c r="AU112" s="3086"/>
      <c r="AV112" s="3086"/>
      <c r="AW112" s="3087"/>
    </row>
    <row r="113" spans="1:54" ht="36.75" customHeight="1">
      <c r="A113" s="274"/>
      <c r="B113" s="1368"/>
      <c r="C113" s="1374" t="s">
        <v>1273</v>
      </c>
      <c r="D113" s="94" t="s">
        <v>104</v>
      </c>
      <c r="E113" s="97" t="str">
        <f>'XM.GUI MAIL'!E113</f>
        <v>40~60</v>
      </c>
      <c r="F113" s="1897" t="str">
        <f>'XM.GUI MAIL'!F113</f>
        <v>(50±10)</v>
      </c>
      <c r="G113" s="415"/>
      <c r="H113" s="95"/>
      <c r="I113" s="3090">
        <v>56</v>
      </c>
      <c r="J113" s="3088"/>
      <c r="K113" s="3091"/>
      <c r="L113" s="3088">
        <v>55</v>
      </c>
      <c r="M113" s="3088"/>
      <c r="N113" s="3089"/>
      <c r="O113" s="2521"/>
      <c r="P113" s="3090">
        <v>56</v>
      </c>
      <c r="Q113" s="3088"/>
      <c r="R113" s="3091"/>
      <c r="S113" s="3088">
        <v>56</v>
      </c>
      <c r="T113" s="3088"/>
      <c r="U113" s="3089"/>
      <c r="V113" s="2555"/>
      <c r="W113" s="3090">
        <v>56</v>
      </c>
      <c r="X113" s="3088"/>
      <c r="Y113" s="3091"/>
      <c r="Z113" s="3088">
        <v>55</v>
      </c>
      <c r="AA113" s="3088"/>
      <c r="AB113" s="3089"/>
      <c r="AC113" s="2565"/>
      <c r="AD113" s="3090"/>
      <c r="AE113" s="3088"/>
      <c r="AF113" s="3091"/>
      <c r="AG113" s="3088"/>
      <c r="AH113" s="3088"/>
      <c r="AI113" s="3089"/>
      <c r="AJ113" s="2555"/>
      <c r="AK113" s="3090"/>
      <c r="AL113" s="3088"/>
      <c r="AM113" s="3091"/>
      <c r="AN113" s="3088"/>
      <c r="AO113" s="3088"/>
      <c r="AP113" s="3089"/>
      <c r="AQ113" s="2555"/>
      <c r="AR113" s="3090"/>
      <c r="AS113" s="3088"/>
      <c r="AT113" s="3091"/>
      <c r="AU113" s="3088"/>
      <c r="AV113" s="3088"/>
      <c r="AW113" s="3089"/>
    </row>
    <row r="114" spans="1:54" ht="36.75" customHeight="1">
      <c r="A114" s="274"/>
      <c r="B114" s="2152"/>
      <c r="C114" s="2153" t="s">
        <v>1490</v>
      </c>
      <c r="D114" s="94" t="s">
        <v>104</v>
      </c>
      <c r="E114" s="97" t="str">
        <f>'XM.GUI MAIL'!E114</f>
        <v>50~70</v>
      </c>
      <c r="F114" s="1897" t="str">
        <f>'XM.GUI MAIL'!F114</f>
        <v>(60±10)</v>
      </c>
      <c r="G114" s="415"/>
      <c r="H114" s="95"/>
      <c r="I114" s="3090">
        <v>62</v>
      </c>
      <c r="J114" s="3088"/>
      <c r="K114" s="3091"/>
      <c r="L114" s="3088">
        <v>63</v>
      </c>
      <c r="M114" s="3088"/>
      <c r="N114" s="3089"/>
      <c r="O114" s="2521"/>
      <c r="P114" s="3090">
        <v>62</v>
      </c>
      <c r="Q114" s="3088"/>
      <c r="R114" s="3091"/>
      <c r="S114" s="3088">
        <v>62</v>
      </c>
      <c r="T114" s="3088"/>
      <c r="U114" s="3089"/>
      <c r="V114" s="2555"/>
      <c r="W114" s="3090">
        <v>62</v>
      </c>
      <c r="X114" s="3088"/>
      <c r="Y114" s="3091"/>
      <c r="Z114" s="3088">
        <v>63</v>
      </c>
      <c r="AA114" s="3088"/>
      <c r="AB114" s="3089"/>
      <c r="AC114" s="2565"/>
      <c r="AD114" s="3090"/>
      <c r="AE114" s="3088"/>
      <c r="AF114" s="3091"/>
      <c r="AG114" s="3088"/>
      <c r="AH114" s="3088"/>
      <c r="AI114" s="3089"/>
      <c r="AJ114" s="2555"/>
      <c r="AK114" s="3090"/>
      <c r="AL114" s="3088"/>
      <c r="AM114" s="3091"/>
      <c r="AN114" s="3088"/>
      <c r="AO114" s="3088"/>
      <c r="AP114" s="3089"/>
      <c r="AQ114" s="2555"/>
      <c r="AR114" s="3090"/>
      <c r="AS114" s="3088"/>
      <c r="AT114" s="3091"/>
      <c r="AU114" s="3088"/>
      <c r="AV114" s="3088"/>
      <c r="AW114" s="3089"/>
    </row>
    <row r="115" spans="1:54" ht="36.75" hidden="1" customHeight="1">
      <c r="A115" s="274"/>
      <c r="B115" s="993"/>
      <c r="C115" s="1346" t="s">
        <v>981</v>
      </c>
      <c r="D115" s="21" t="s">
        <v>104</v>
      </c>
      <c r="E115" s="97" t="str">
        <f>'XM.GUI MAIL'!E115</f>
        <v>20~30</v>
      </c>
      <c r="F115" s="1889" t="str">
        <f>'XM.GUI MAIL'!F115</f>
        <v>20~30</v>
      </c>
      <c r="G115" s="415"/>
      <c r="H115" s="95"/>
      <c r="I115" s="3090"/>
      <c r="J115" s="3088"/>
      <c r="K115" s="3091"/>
      <c r="L115" s="3088"/>
      <c r="M115" s="3088"/>
      <c r="N115" s="3088"/>
      <c r="O115" s="2537"/>
      <c r="P115" s="3090"/>
      <c r="Q115" s="3088"/>
      <c r="R115" s="3091"/>
      <c r="S115" s="3088"/>
      <c r="T115" s="3088"/>
      <c r="U115" s="3088"/>
      <c r="W115" s="3090"/>
      <c r="X115" s="3088"/>
      <c r="Y115" s="3091"/>
      <c r="Z115" s="3088"/>
      <c r="AA115" s="3088"/>
      <c r="AB115" s="3088"/>
      <c r="AC115" s="2566"/>
      <c r="AD115" s="3090"/>
      <c r="AE115" s="3088"/>
      <c r="AF115" s="3091"/>
      <c r="AG115" s="3088"/>
      <c r="AH115" s="3088"/>
      <c r="AI115" s="3088"/>
      <c r="AJ115" s="2537"/>
      <c r="AK115" s="3090"/>
      <c r="AL115" s="3088"/>
      <c r="AM115" s="3091"/>
      <c r="AN115" s="3088"/>
      <c r="AO115" s="3088"/>
      <c r="AP115" s="3088"/>
      <c r="AR115" s="3090"/>
      <c r="AS115" s="3088"/>
      <c r="AT115" s="3091"/>
      <c r="AU115" s="3088"/>
      <c r="AV115" s="3088"/>
      <c r="AW115" s="3089"/>
    </row>
    <row r="116" spans="1:54" ht="39.75" hidden="1" customHeight="1">
      <c r="A116" s="274"/>
      <c r="B116" s="1347"/>
      <c r="C116" s="1350" t="s">
        <v>1643</v>
      </c>
      <c r="D116" s="1373" t="s">
        <v>1272</v>
      </c>
      <c r="E116" s="1380" t="s">
        <v>1511</v>
      </c>
      <c r="F116" s="1889" t="s">
        <v>1512</v>
      </c>
      <c r="G116" s="415"/>
      <c r="H116" s="95"/>
      <c r="I116" s="3103"/>
      <c r="J116" s="3101"/>
      <c r="K116" s="3101"/>
      <c r="L116" s="3101"/>
      <c r="M116" s="3101"/>
      <c r="N116" s="3101"/>
      <c r="O116" s="3102"/>
      <c r="P116" s="3103"/>
      <c r="Q116" s="3101"/>
      <c r="R116" s="3101"/>
      <c r="S116" s="3101"/>
      <c r="T116" s="3101"/>
      <c r="U116" s="3101"/>
      <c r="V116" s="3102"/>
      <c r="W116" s="3103"/>
      <c r="X116" s="3101"/>
      <c r="Y116" s="3101"/>
      <c r="Z116" s="3101"/>
      <c r="AA116" s="3101"/>
      <c r="AB116" s="3101"/>
      <c r="AC116" s="3102"/>
      <c r="AD116" s="3103"/>
      <c r="AE116" s="3101"/>
      <c r="AF116" s="3101"/>
      <c r="AG116" s="3101"/>
      <c r="AH116" s="3101"/>
      <c r="AI116" s="3101"/>
      <c r="AJ116" s="3102"/>
      <c r="AK116" s="3103"/>
      <c r="AL116" s="3101"/>
      <c r="AM116" s="3101"/>
      <c r="AN116" s="3101"/>
      <c r="AO116" s="3101"/>
      <c r="AP116" s="3101"/>
      <c r="AQ116" s="3102"/>
      <c r="AR116" s="3103"/>
      <c r="AS116" s="3101"/>
      <c r="AT116" s="3101"/>
      <c r="AU116" s="3101"/>
      <c r="AV116" s="3101"/>
      <c r="AW116" s="3102"/>
    </row>
    <row r="117" spans="1:54" ht="42" customHeight="1">
      <c r="A117" s="1310" t="s">
        <v>309</v>
      </c>
      <c r="B117" s="1311" t="s">
        <v>126</v>
      </c>
      <c r="C117" s="1012" t="s">
        <v>116</v>
      </c>
      <c r="D117" s="1013" t="s">
        <v>104</v>
      </c>
      <c r="E117" s="1544" t="str">
        <f>'XM.GUI MAIL'!E117</f>
        <v>24~28</v>
      </c>
      <c r="F117" s="1889" t="str">
        <f>'XM.GUI MAIL'!F117</f>
        <v>(26±2)</v>
      </c>
      <c r="G117" s="415"/>
      <c r="H117" s="95"/>
      <c r="I117" s="3104"/>
      <c r="J117" s="3105"/>
      <c r="K117" s="3105"/>
      <c r="L117" s="3105"/>
      <c r="M117" s="3105"/>
      <c r="N117" s="3105"/>
      <c r="O117" s="2538"/>
      <c r="P117" s="3104"/>
      <c r="Q117" s="3105"/>
      <c r="R117" s="3105"/>
      <c r="S117" s="3105"/>
      <c r="T117" s="3105"/>
      <c r="U117" s="3105"/>
      <c r="V117" s="2556"/>
      <c r="W117" s="3104"/>
      <c r="X117" s="3105"/>
      <c r="Y117" s="3105"/>
      <c r="Z117" s="3105"/>
      <c r="AA117" s="3105"/>
      <c r="AB117" s="3105"/>
      <c r="AC117" s="2550"/>
      <c r="AD117" s="3104"/>
      <c r="AE117" s="3105"/>
      <c r="AF117" s="3105"/>
      <c r="AG117" s="3105"/>
      <c r="AH117" s="3105"/>
      <c r="AI117" s="3105"/>
      <c r="AJ117" s="2538"/>
      <c r="AK117" s="3104"/>
      <c r="AL117" s="3105"/>
      <c r="AM117" s="3105"/>
      <c r="AN117" s="3105"/>
      <c r="AO117" s="3105"/>
      <c r="AP117" s="3105"/>
      <c r="AQ117" s="2556"/>
      <c r="AR117" s="3104"/>
      <c r="AS117" s="3105"/>
      <c r="AT117" s="3105"/>
      <c r="AU117" s="3105"/>
      <c r="AV117" s="3105"/>
      <c r="AW117" s="3106"/>
    </row>
    <row r="118" spans="1:54" ht="42" customHeight="1">
      <c r="A118" s="1310" t="s">
        <v>310</v>
      </c>
      <c r="B118" s="1311" t="s">
        <v>126</v>
      </c>
      <c r="C118" s="1012" t="s">
        <v>120</v>
      </c>
      <c r="D118" s="1013" t="s">
        <v>104</v>
      </c>
      <c r="E118" s="1544" t="str">
        <f>'XM.GUI MAIL'!E118</f>
        <v>20~30</v>
      </c>
      <c r="F118" s="1897" t="str">
        <f>'XM.GUI MAIL'!F118</f>
        <v>(25±5)</v>
      </c>
      <c r="G118" s="415"/>
      <c r="H118" s="95"/>
      <c r="I118" s="3104"/>
      <c r="J118" s="3105"/>
      <c r="K118" s="3105"/>
      <c r="L118" s="3105"/>
      <c r="M118" s="3105"/>
      <c r="N118" s="3105"/>
      <c r="O118" s="2538"/>
      <c r="P118" s="3104"/>
      <c r="Q118" s="3105"/>
      <c r="R118" s="3105"/>
      <c r="S118" s="3105"/>
      <c r="T118" s="3105"/>
      <c r="U118" s="3105"/>
      <c r="V118" s="2556"/>
      <c r="W118" s="3104"/>
      <c r="X118" s="3105"/>
      <c r="Y118" s="3105"/>
      <c r="Z118" s="3105"/>
      <c r="AA118" s="3105"/>
      <c r="AB118" s="3105"/>
      <c r="AC118" s="2550"/>
      <c r="AD118" s="3104"/>
      <c r="AE118" s="3105"/>
      <c r="AF118" s="3105"/>
      <c r="AG118" s="3105"/>
      <c r="AH118" s="3105"/>
      <c r="AI118" s="3105"/>
      <c r="AJ118" s="2538"/>
      <c r="AK118" s="3104"/>
      <c r="AL118" s="3105"/>
      <c r="AM118" s="3105"/>
      <c r="AN118" s="3105"/>
      <c r="AO118" s="3105"/>
      <c r="AP118" s="3105"/>
      <c r="AQ118" s="2556"/>
      <c r="AR118" s="3104"/>
      <c r="AS118" s="3105"/>
      <c r="AT118" s="3105"/>
      <c r="AU118" s="3105"/>
      <c r="AV118" s="3105"/>
      <c r="AW118" s="3106"/>
    </row>
    <row r="119" spans="1:54" s="205" customFormat="1" ht="50.25" customHeight="1">
      <c r="A119" s="284" t="s">
        <v>74</v>
      </c>
      <c r="B119" s="285"/>
      <c r="C119" s="285"/>
      <c r="D119" s="285"/>
      <c r="E119" s="295"/>
      <c r="F119" s="282"/>
      <c r="G119" s="295"/>
      <c r="H119" s="285"/>
      <c r="I119" s="285"/>
      <c r="J119" s="2470"/>
      <c r="K119" s="285"/>
      <c r="L119" s="285"/>
      <c r="M119" s="2470"/>
      <c r="N119" s="285"/>
      <c r="O119" s="2470"/>
      <c r="P119" s="286"/>
      <c r="Q119" s="2468"/>
      <c r="R119" s="1399"/>
      <c r="S119" s="1399"/>
      <c r="T119" s="2505"/>
      <c r="U119" s="286"/>
      <c r="V119" s="2470"/>
      <c r="W119" s="286"/>
      <c r="X119" s="2470"/>
      <c r="Y119" s="285"/>
      <c r="Z119" s="285"/>
      <c r="AA119" s="2470"/>
      <c r="AB119" s="285"/>
      <c r="AC119" s="2470"/>
      <c r="AD119" s="285"/>
      <c r="AE119" s="2470"/>
      <c r="AF119" s="285"/>
      <c r="AG119" s="285"/>
      <c r="AH119" s="2470"/>
      <c r="AI119" s="285"/>
      <c r="AJ119" s="2569"/>
      <c r="AK119" s="286"/>
      <c r="AL119" s="2569"/>
      <c r="AM119" s="286"/>
      <c r="AN119" s="286"/>
      <c r="AO119" s="2569"/>
      <c r="AP119" s="286"/>
      <c r="AQ119" s="2569"/>
      <c r="AR119" s="286"/>
      <c r="AS119" s="286"/>
      <c r="AT119" s="286"/>
      <c r="AU119" s="286"/>
      <c r="AV119" s="286"/>
      <c r="AW119" s="1001"/>
      <c r="AX119" s="2075"/>
      <c r="AY119" s="2075"/>
      <c r="AZ119" s="88"/>
      <c r="BA119" s="88"/>
      <c r="BB119" s="88"/>
    </row>
    <row r="120" spans="1:54" ht="47.25" customHeight="1">
      <c r="A120" s="274" t="s">
        <v>304</v>
      </c>
      <c r="B120" s="993" t="s">
        <v>126</v>
      </c>
      <c r="C120" s="101" t="s">
        <v>1100</v>
      </c>
      <c r="D120" s="1056" t="s">
        <v>1641</v>
      </c>
      <c r="E120" s="13" t="str">
        <f>'XM.GUI MAIL'!E120</f>
        <v>30~50 
(40)</v>
      </c>
      <c r="F120" s="1889" t="str">
        <f>'XM.GUI MAIL'!F120</f>
        <v>30~50 
(40)</v>
      </c>
      <c r="G120" s="1340"/>
      <c r="H120" s="98"/>
      <c r="I120" s="3098">
        <v>42</v>
      </c>
      <c r="J120" s="3099"/>
      <c r="K120" s="3099"/>
      <c r="L120" s="3099"/>
      <c r="M120" s="3099"/>
      <c r="N120" s="3100"/>
      <c r="O120" s="2520"/>
      <c r="P120" s="3098">
        <v>40</v>
      </c>
      <c r="Q120" s="3099"/>
      <c r="R120" s="3099"/>
      <c r="S120" s="3099"/>
      <c r="T120" s="3099"/>
      <c r="U120" s="3100"/>
      <c r="W120" s="3098">
        <v>42</v>
      </c>
      <c r="X120" s="3099"/>
      <c r="Y120" s="3099"/>
      <c r="Z120" s="3099"/>
      <c r="AA120" s="3099"/>
      <c r="AB120" s="3100"/>
      <c r="AD120" s="3098"/>
      <c r="AE120" s="3099"/>
      <c r="AF120" s="3099"/>
      <c r="AG120" s="3099"/>
      <c r="AH120" s="3099"/>
      <c r="AI120" s="3100"/>
      <c r="AK120" s="3098"/>
      <c r="AL120" s="3099"/>
      <c r="AM120" s="3099"/>
      <c r="AN120" s="3099"/>
      <c r="AO120" s="3099"/>
      <c r="AP120" s="3100"/>
      <c r="AR120" s="3098"/>
      <c r="AS120" s="3099"/>
      <c r="AT120" s="3099"/>
      <c r="AU120" s="3099"/>
      <c r="AV120" s="3099"/>
      <c r="AW120" s="3100"/>
    </row>
    <row r="121" spans="1:54" ht="47.25" customHeight="1">
      <c r="A121" s="44" t="s">
        <v>305</v>
      </c>
      <c r="B121" s="993" t="s">
        <v>126</v>
      </c>
      <c r="C121" s="101" t="s">
        <v>1101</v>
      </c>
      <c r="D121" s="1056" t="s">
        <v>1641</v>
      </c>
      <c r="E121" s="13" t="str">
        <f>'XM.GUI MAIL'!E121</f>
        <v>160~220
(180)</v>
      </c>
      <c r="F121" s="1897" t="str">
        <f>'XM.GUI MAIL'!F121</f>
        <v>160~220
(180)</v>
      </c>
      <c r="G121" s="1340"/>
      <c r="H121" s="98"/>
      <c r="I121" s="3098">
        <v>195</v>
      </c>
      <c r="J121" s="3099"/>
      <c r="K121" s="3099"/>
      <c r="L121" s="3099"/>
      <c r="M121" s="3099"/>
      <c r="N121" s="3100"/>
      <c r="O121" s="2523"/>
      <c r="P121" s="3098">
        <v>197</v>
      </c>
      <c r="Q121" s="3099"/>
      <c r="R121" s="3099"/>
      <c r="S121" s="3099"/>
      <c r="T121" s="3099"/>
      <c r="U121" s="3100"/>
      <c r="V121" s="2545"/>
      <c r="W121" s="3098">
        <v>200</v>
      </c>
      <c r="X121" s="3099"/>
      <c r="Y121" s="3099"/>
      <c r="Z121" s="3099"/>
      <c r="AA121" s="3099"/>
      <c r="AB121" s="3100"/>
      <c r="AC121" s="2523"/>
      <c r="AD121" s="3098"/>
      <c r="AE121" s="3099"/>
      <c r="AF121" s="3099"/>
      <c r="AG121" s="3099"/>
      <c r="AH121" s="3099"/>
      <c r="AI121" s="3100"/>
      <c r="AJ121" s="2571"/>
      <c r="AK121" s="3098"/>
      <c r="AL121" s="3099"/>
      <c r="AM121" s="3099"/>
      <c r="AN121" s="3099"/>
      <c r="AO121" s="3099"/>
      <c r="AP121" s="3100"/>
      <c r="AQ121" s="2571"/>
      <c r="AR121" s="3098"/>
      <c r="AS121" s="3099"/>
      <c r="AT121" s="3099"/>
      <c r="AU121" s="3099"/>
      <c r="AV121" s="3099"/>
      <c r="AW121" s="3100"/>
    </row>
    <row r="122" spans="1:54" ht="22.5" customHeight="1"/>
    <row r="123" spans="1:54" ht="32.25" customHeight="1">
      <c r="C123" s="1898" t="str">
        <f>MENU!$AC$9</f>
        <v>Thứ 5,</v>
      </c>
      <c r="D123" s="1826" t="str">
        <f>MENU!$AD$9</f>
        <v>2024/08/01</v>
      </c>
      <c r="E123" s="1826"/>
    </row>
    <row r="124" spans="1:54" ht="35.25" customHeight="1">
      <c r="C124" s="3117" t="s">
        <v>314</v>
      </c>
      <c r="D124" s="3118" t="s">
        <v>123</v>
      </c>
      <c r="E124" s="3119" t="s">
        <v>1296</v>
      </c>
      <c r="F124" s="3115" t="s">
        <v>1289</v>
      </c>
      <c r="I124" s="268" t="s">
        <v>1454</v>
      </c>
      <c r="J124" s="2458"/>
      <c r="K124" s="268"/>
      <c r="L124" s="268"/>
      <c r="M124" s="2458"/>
      <c r="N124" s="268"/>
      <c r="O124" s="2509"/>
      <c r="P124" s="281" t="s">
        <v>1444</v>
      </c>
      <c r="Q124" s="2458"/>
      <c r="R124" s="268"/>
      <c r="S124" s="268"/>
      <c r="T124" s="2458"/>
      <c r="U124" s="269"/>
      <c r="V124" s="2458"/>
      <c r="W124" s="268" t="s">
        <v>1445</v>
      </c>
      <c r="X124" s="2458"/>
      <c r="Y124" s="268"/>
      <c r="Z124" s="268"/>
      <c r="AA124" s="2458"/>
      <c r="AB124" s="268"/>
      <c r="AC124" s="2509"/>
      <c r="AD124" s="281" t="s">
        <v>1446</v>
      </c>
      <c r="AE124" s="2458"/>
      <c r="AF124" s="268"/>
      <c r="AG124" s="268"/>
      <c r="AH124" s="2458"/>
      <c r="AI124" s="269"/>
      <c r="AJ124" s="2458"/>
      <c r="AK124" s="268" t="s">
        <v>1447</v>
      </c>
      <c r="AL124" s="2458"/>
      <c r="AM124" s="268"/>
      <c r="AN124" s="268"/>
      <c r="AO124" s="2458"/>
      <c r="AP124" s="268"/>
      <c r="AQ124" s="2458"/>
      <c r="AR124" s="281" t="s">
        <v>1448</v>
      </c>
      <c r="AS124" s="268"/>
      <c r="AT124" s="268"/>
      <c r="AU124" s="269"/>
      <c r="AV124" s="269"/>
      <c r="AW124" s="1000"/>
    </row>
    <row r="125" spans="1:54" ht="24" customHeight="1">
      <c r="C125" s="3117"/>
      <c r="D125" s="3118"/>
      <c r="E125" s="3120"/>
      <c r="F125" s="3116"/>
      <c r="I125" s="1907" t="s">
        <v>128</v>
      </c>
      <c r="J125" s="2481" t="s">
        <v>1</v>
      </c>
      <c r="K125" s="1909" t="s">
        <v>1</v>
      </c>
      <c r="L125" s="1909"/>
      <c r="M125" s="2502"/>
      <c r="N125" s="1910"/>
      <c r="O125" s="2539"/>
      <c r="P125" s="1907" t="s">
        <v>128</v>
      </c>
      <c r="Q125" s="2481" t="s">
        <v>1</v>
      </c>
      <c r="R125" s="1909" t="s">
        <v>1</v>
      </c>
      <c r="S125" s="1909"/>
      <c r="T125" s="2502"/>
      <c r="U125" s="1910"/>
      <c r="V125" s="2557"/>
      <c r="W125" s="1907" t="s">
        <v>128</v>
      </c>
      <c r="X125" s="2481" t="s">
        <v>1</v>
      </c>
      <c r="Y125" s="1909" t="s">
        <v>1</v>
      </c>
      <c r="Z125" s="1909"/>
      <c r="AA125" s="2502"/>
      <c r="AB125" s="1910"/>
      <c r="AC125" s="2539"/>
      <c r="AD125" s="1907" t="s">
        <v>128</v>
      </c>
      <c r="AE125" s="2481" t="s">
        <v>1</v>
      </c>
      <c r="AF125" s="1909" t="s">
        <v>1</v>
      </c>
      <c r="AG125" s="1909"/>
      <c r="AH125" s="2502"/>
      <c r="AI125" s="1910"/>
      <c r="AJ125" s="2574" t="s">
        <v>128</v>
      </c>
      <c r="AK125" s="1907" t="s">
        <v>128</v>
      </c>
      <c r="AL125" s="2481" t="s">
        <v>1</v>
      </c>
      <c r="AM125" s="1909" t="s">
        <v>1</v>
      </c>
      <c r="AN125" s="1909"/>
      <c r="AO125" s="2502"/>
      <c r="AP125" s="1910"/>
      <c r="AQ125" s="2539"/>
      <c r="AR125" s="1907" t="s">
        <v>128</v>
      </c>
      <c r="AS125" s="1908" t="s">
        <v>1</v>
      </c>
      <c r="AT125" s="1909" t="s">
        <v>1</v>
      </c>
      <c r="AU125" s="1909"/>
      <c r="AV125" s="1909"/>
      <c r="AW125" s="1910"/>
    </row>
    <row r="126" spans="1:54" ht="37.5" customHeight="1">
      <c r="C126" s="208" t="s">
        <v>192</v>
      </c>
      <c r="D126" s="207" t="s">
        <v>4</v>
      </c>
      <c r="E126" s="1336" t="str">
        <f>E99</f>
        <v>5~6</v>
      </c>
      <c r="F126" s="1889" t="str">
        <f>F99</f>
        <v>(5.5± 0.5)</v>
      </c>
      <c r="I126" s="1726">
        <f>H99*1.3</f>
        <v>0</v>
      </c>
      <c r="J126" s="2465">
        <f>($G$99-I126)*8000/1000</f>
        <v>44</v>
      </c>
      <c r="K126" s="1738" t="s">
        <v>8</v>
      </c>
      <c r="L126" s="1739">
        <f>L99</f>
        <v>44</v>
      </c>
      <c r="M126" s="2501"/>
      <c r="N126" s="1740" t="s">
        <v>9</v>
      </c>
      <c r="O126" s="2535"/>
      <c r="P126" s="1726">
        <f>O99*1.3</f>
        <v>0</v>
      </c>
      <c r="Q126" s="2465">
        <f>($G$99-P126)*8000/1000</f>
        <v>44</v>
      </c>
      <c r="R126" s="1738" t="s">
        <v>8</v>
      </c>
      <c r="S126" s="1739">
        <f>S99</f>
        <v>44</v>
      </c>
      <c r="T126" s="2501"/>
      <c r="U126" s="1740" t="s">
        <v>9</v>
      </c>
      <c r="V126" s="2535" t="e">
        <f>XM.HN!#REF!</f>
        <v>#REF!</v>
      </c>
      <c r="W126" s="1726">
        <f>V99*1.3</f>
        <v>0</v>
      </c>
      <c r="X126" s="2465">
        <f>($G$99-W126)*8000/1000</f>
        <v>44</v>
      </c>
      <c r="Y126" s="1738" t="s">
        <v>8</v>
      </c>
      <c r="Z126" s="1739">
        <f>Z99</f>
        <v>44</v>
      </c>
      <c r="AA126" s="2501"/>
      <c r="AB126" s="1740" t="s">
        <v>9</v>
      </c>
      <c r="AC126" s="2562"/>
      <c r="AD126" s="1726">
        <f>AC99*1.3</f>
        <v>0</v>
      </c>
      <c r="AE126" s="2465">
        <f>($G$99-AD126)*8000/1000</f>
        <v>44</v>
      </c>
      <c r="AF126" s="1738" t="s">
        <v>8</v>
      </c>
      <c r="AG126" s="1739">
        <f>AG99</f>
        <v>44</v>
      </c>
      <c r="AH126" s="2501"/>
      <c r="AI126" s="1740" t="s">
        <v>9</v>
      </c>
      <c r="AJ126" s="2517" t="e">
        <f>AP99*1.3</f>
        <v>#VALUE!</v>
      </c>
      <c r="AK126" s="1726">
        <f>AJ99*1.3</f>
        <v>0</v>
      </c>
      <c r="AL126" s="2465">
        <f>($G$99-AK126)*8000/1000</f>
        <v>44</v>
      </c>
      <c r="AM126" s="1738" t="s">
        <v>8</v>
      </c>
      <c r="AN126" s="1739">
        <f>AN99</f>
        <v>44</v>
      </c>
      <c r="AO126" s="2501"/>
      <c r="AP126" s="1740" t="s">
        <v>9</v>
      </c>
      <c r="AQ126" s="2518"/>
      <c r="AR126" s="1726">
        <f>AQ99*1.3</f>
        <v>0</v>
      </c>
      <c r="AS126" s="1751">
        <f>($G$99-AR126)*8000/1000</f>
        <v>44</v>
      </c>
      <c r="AT126" s="1738" t="s">
        <v>8</v>
      </c>
      <c r="AU126" s="1739">
        <f>AU99</f>
        <v>44</v>
      </c>
      <c r="AV126" s="1769"/>
      <c r="AW126" s="1740" t="s">
        <v>9</v>
      </c>
    </row>
    <row r="127" spans="1:54" ht="37.5" customHeight="1">
      <c r="C127" s="207" t="s">
        <v>1484</v>
      </c>
      <c r="D127" s="207" t="s">
        <v>4</v>
      </c>
      <c r="E127" s="47" t="str">
        <f>E100</f>
        <v>130~140</v>
      </c>
      <c r="F127" s="1889" t="str">
        <f>F100</f>
        <v>(135 ± 5)</v>
      </c>
      <c r="I127" s="1775">
        <f>H100*8</f>
        <v>0</v>
      </c>
      <c r="J127" s="2465">
        <f>($G$100-I127)*8000/1000</f>
        <v>1080</v>
      </c>
      <c r="K127" s="1738" t="s">
        <v>8</v>
      </c>
      <c r="L127" s="1739">
        <f>L100</f>
        <v>1080</v>
      </c>
      <c r="M127" s="2501"/>
      <c r="N127" s="1740" t="s">
        <v>9</v>
      </c>
      <c r="O127" s="2535"/>
      <c r="P127" s="1775">
        <f>O100*8</f>
        <v>0</v>
      </c>
      <c r="Q127" s="2465"/>
      <c r="R127" s="1738" t="s">
        <v>8</v>
      </c>
      <c r="S127" s="1739">
        <f>S100</f>
        <v>1080</v>
      </c>
      <c r="T127" s="2501"/>
      <c r="U127" s="1740" t="s">
        <v>9</v>
      </c>
      <c r="V127" s="2535"/>
      <c r="W127" s="1775">
        <f>V100*8</f>
        <v>0</v>
      </c>
      <c r="X127" s="2465"/>
      <c r="Y127" s="1738" t="s">
        <v>8</v>
      </c>
      <c r="Z127" s="1739">
        <f>Z100</f>
        <v>1080</v>
      </c>
      <c r="AA127" s="2501"/>
      <c r="AB127" s="1740" t="s">
        <v>9</v>
      </c>
      <c r="AC127" s="2562"/>
      <c r="AD127" s="1775">
        <f>AC100*8</f>
        <v>0</v>
      </c>
      <c r="AE127" s="2465" t="e">
        <f>(#REF!-AD127)*8000/1000</f>
        <v>#REF!</v>
      </c>
      <c r="AF127" s="1738" t="s">
        <v>8</v>
      </c>
      <c r="AG127" s="1739">
        <f>AG100</f>
        <v>1080</v>
      </c>
      <c r="AH127" s="2501"/>
      <c r="AI127" s="1740" t="s">
        <v>9</v>
      </c>
      <c r="AJ127" s="2517" t="e">
        <f>AP100*8</f>
        <v>#VALUE!</v>
      </c>
      <c r="AK127" s="1775">
        <f>AJ100*8</f>
        <v>0</v>
      </c>
      <c r="AL127" s="2465" t="e">
        <f>(#REF!-AK127)*8000/1000</f>
        <v>#REF!</v>
      </c>
      <c r="AM127" s="1738" t="s">
        <v>8</v>
      </c>
      <c r="AN127" s="1739">
        <f>AN100</f>
        <v>1080</v>
      </c>
      <c r="AO127" s="2501"/>
      <c r="AP127" s="1740" t="s">
        <v>9</v>
      </c>
      <c r="AQ127" s="2518"/>
      <c r="AR127" s="1775">
        <f>AQ100*8</f>
        <v>0</v>
      </c>
      <c r="AS127" s="1751" t="e">
        <f>(#REF!-AR127)*8000/1000</f>
        <v>#REF!</v>
      </c>
      <c r="AT127" s="1738" t="s">
        <v>8</v>
      </c>
      <c r="AU127" s="1739">
        <f>AU100</f>
        <v>1080</v>
      </c>
      <c r="AV127" s="1769"/>
      <c r="AW127" s="1740" t="s">
        <v>9</v>
      </c>
    </row>
    <row r="128" spans="1:54" ht="37.5" customHeight="1">
      <c r="C128" s="207" t="s">
        <v>193</v>
      </c>
      <c r="D128" s="207" t="s">
        <v>119</v>
      </c>
      <c r="E128" s="1065" t="str">
        <f>E101</f>
        <v>3.0-4.5</v>
      </c>
      <c r="F128" s="1889" t="str">
        <f t="shared" ref="F128:F129" si="63">F101</f>
        <v>(4.3±0.2)</v>
      </c>
      <c r="I128" s="1731">
        <f>XM.HN!B73</f>
        <v>0</v>
      </c>
      <c r="J128" s="2482"/>
      <c r="K128" s="2061"/>
      <c r="L128" s="2062"/>
      <c r="M128" s="2503"/>
      <c r="N128" s="2063"/>
      <c r="O128" s="2540"/>
      <c r="P128" s="1731">
        <f>XM.HN!C73</f>
        <v>0</v>
      </c>
      <c r="Q128" s="2482"/>
      <c r="R128" s="2061"/>
      <c r="S128" s="2062"/>
      <c r="T128" s="2503"/>
      <c r="U128" s="2063"/>
      <c r="V128" s="2540"/>
      <c r="W128" s="1731">
        <f>XM.HN!D73</f>
        <v>0</v>
      </c>
      <c r="X128" s="2482"/>
      <c r="Y128" s="2061"/>
      <c r="Z128" s="2062"/>
      <c r="AA128" s="2503"/>
      <c r="AB128" s="2064"/>
      <c r="AC128" s="2567"/>
      <c r="AD128" s="1731">
        <f>XM.HN!E73</f>
        <v>0</v>
      </c>
      <c r="AE128" s="2482"/>
      <c r="AF128" s="2061"/>
      <c r="AG128" s="2062"/>
      <c r="AH128" s="2503"/>
      <c r="AI128" s="2063"/>
      <c r="AJ128" s="2567"/>
      <c r="AK128" s="1731">
        <f>XM.HN!F73</f>
        <v>0</v>
      </c>
      <c r="AL128" s="2482"/>
      <c r="AM128" s="2061"/>
      <c r="AN128" s="2062"/>
      <c r="AO128" s="2503"/>
      <c r="AP128" s="2063"/>
      <c r="AQ128" s="2581"/>
      <c r="AR128" s="1731">
        <f>XM.HN!G73</f>
        <v>0</v>
      </c>
      <c r="AS128" s="1752">
        <f>($G$100-AR128)*8000/1000</f>
        <v>1080</v>
      </c>
      <c r="AT128" s="1762"/>
      <c r="AU128" s="1729"/>
      <c r="AV128" s="1776"/>
      <c r="AW128" s="1771"/>
    </row>
    <row r="129" spans="3:49" ht="37.5" customHeight="1">
      <c r="C129" s="208" t="s">
        <v>1629</v>
      </c>
      <c r="D129" s="207" t="s">
        <v>1628</v>
      </c>
      <c r="E129" s="1065">
        <f>E102</f>
        <v>0</v>
      </c>
      <c r="F129" s="1889">
        <f t="shared" si="63"/>
        <v>0</v>
      </c>
      <c r="I129" s="1521">
        <f>H102*5*0.1*36.6-4</f>
        <v>-4</v>
      </c>
      <c r="J129" s="2465">
        <f>($G$102-I129)*3360/1000</f>
        <v>215.04</v>
      </c>
      <c r="K129" s="1738" t="s">
        <v>8</v>
      </c>
      <c r="L129" s="1739">
        <f t="shared" ref="L129" si="64">IF(J129&lt;0,0,J129)</f>
        <v>215.04</v>
      </c>
      <c r="M129" s="2501"/>
      <c r="N129" s="1740" t="s">
        <v>9</v>
      </c>
      <c r="O129" s="2535">
        <f>XM.HN!C101</f>
        <v>0</v>
      </c>
      <c r="P129" s="1521">
        <f>O102*5*0.1*36.6-4</f>
        <v>-4</v>
      </c>
      <c r="Q129" s="2465">
        <f>($G$102-P129)*3360/1000</f>
        <v>215.04</v>
      </c>
      <c r="R129" s="1738" t="s">
        <v>8</v>
      </c>
      <c r="S129" s="1739">
        <f t="shared" ref="S129" si="65">IF(Q129&lt;0,0,Q129)</f>
        <v>215.04</v>
      </c>
      <c r="T129" s="2501"/>
      <c r="U129" s="1740" t="s">
        <v>9</v>
      </c>
      <c r="V129" s="2535">
        <f>XM.HN!D101</f>
        <v>0</v>
      </c>
      <c r="W129" s="1521">
        <f>V102*5*0.1*36.6-4</f>
        <v>-4</v>
      </c>
      <c r="X129" s="2465">
        <f>($G$102-W129)*3360/1000</f>
        <v>215.04</v>
      </c>
      <c r="Y129" s="1738" t="s">
        <v>8</v>
      </c>
      <c r="Z129" s="1739">
        <f t="shared" ref="Z129" si="66">IF(X129&lt;0,0,X129)</f>
        <v>215.04</v>
      </c>
      <c r="AA129" s="2501"/>
      <c r="AB129" s="1740" t="s">
        <v>9</v>
      </c>
      <c r="AC129" s="2562">
        <f>XM.HN!E101</f>
        <v>0</v>
      </c>
      <c r="AD129" s="1521">
        <f>AC102*5*0.1*36.6-4</f>
        <v>-4</v>
      </c>
      <c r="AE129" s="2465">
        <f>($G$102-AD129)*3360/1000</f>
        <v>215.04</v>
      </c>
      <c r="AF129" s="1738" t="s">
        <v>8</v>
      </c>
      <c r="AG129" s="1739">
        <f t="shared" ref="AG129" si="67">IF(AE129&lt;0,0,AE129)</f>
        <v>215.04</v>
      </c>
      <c r="AH129" s="2501"/>
      <c r="AI129" s="1740" t="s">
        <v>9</v>
      </c>
      <c r="AJ129" s="2517">
        <f>XM.HN!F101</f>
        <v>0</v>
      </c>
      <c r="AK129" s="1521">
        <f>AJ102*5*0.1*36.6-4</f>
        <v>-4</v>
      </c>
      <c r="AL129" s="2465">
        <f>($G$102-AK129)*3360/1000</f>
        <v>215.04</v>
      </c>
      <c r="AM129" s="1738" t="s">
        <v>8</v>
      </c>
      <c r="AN129" s="1739">
        <f t="shared" ref="AN129" si="68">IF(AL129&lt;0,0,AL129)</f>
        <v>215.04</v>
      </c>
      <c r="AO129" s="2501"/>
      <c r="AP129" s="1740" t="s">
        <v>9</v>
      </c>
      <c r="AQ129" s="2518">
        <f>XM.HN!G101</f>
        <v>0</v>
      </c>
      <c r="AR129" s="1521">
        <f>AQ102*5*0.1*36.6-4</f>
        <v>-4</v>
      </c>
      <c r="AS129" s="2465">
        <f>($G$102-AR129)*3360/1000</f>
        <v>215.04</v>
      </c>
      <c r="AT129" s="1738" t="s">
        <v>8</v>
      </c>
      <c r="AU129" s="1739">
        <f t="shared" ref="AU129" si="69">IF(AS129&lt;0,0,AS129)</f>
        <v>215.04</v>
      </c>
      <c r="AV129" s="2501"/>
      <c r="AW129" s="1740" t="s">
        <v>9</v>
      </c>
    </row>
    <row r="130" spans="3:49" ht="12.75" customHeight="1">
      <c r="F130" s="1821"/>
      <c r="I130" s="1750"/>
      <c r="J130" s="2483"/>
      <c r="K130" s="1742"/>
      <c r="L130" s="1742"/>
      <c r="M130" s="2483"/>
      <c r="N130" s="1743"/>
      <c r="P130" s="1750"/>
      <c r="Q130" s="2483"/>
      <c r="R130" s="1742"/>
      <c r="S130" s="1742"/>
      <c r="T130" s="2483"/>
      <c r="U130" s="1743"/>
      <c r="W130" s="1750"/>
      <c r="X130" s="2483"/>
      <c r="Y130" s="1742"/>
      <c r="Z130" s="1742"/>
      <c r="AA130" s="2483"/>
      <c r="AB130" s="1743"/>
      <c r="AD130" s="1750"/>
      <c r="AE130" s="2483"/>
      <c r="AF130" s="1742"/>
      <c r="AG130" s="1742"/>
      <c r="AH130" s="2483"/>
      <c r="AI130" s="1743"/>
      <c r="AJ130" s="2575"/>
      <c r="AK130" s="1742"/>
      <c r="AL130" s="2483"/>
      <c r="AM130" s="1742"/>
      <c r="AN130" s="1742"/>
      <c r="AO130" s="2537"/>
    </row>
    <row r="131" spans="3:49" ht="57" customHeight="1">
      <c r="C131" s="1353" t="s">
        <v>60</v>
      </c>
      <c r="D131" s="1353" t="s">
        <v>62</v>
      </c>
      <c r="E131" s="1377" t="s">
        <v>1290</v>
      </c>
      <c r="F131" s="1889" t="s">
        <v>1289</v>
      </c>
      <c r="I131" s="1720" t="s">
        <v>45</v>
      </c>
      <c r="J131" s="2469"/>
      <c r="K131" s="1721"/>
      <c r="L131" s="1721" t="s">
        <v>61</v>
      </c>
      <c r="M131" s="2469"/>
      <c r="N131" s="1773"/>
      <c r="O131" s="2529"/>
      <c r="P131" s="1720" t="s">
        <v>45</v>
      </c>
      <c r="Q131" s="2469"/>
      <c r="R131" s="1721"/>
      <c r="S131" s="1721" t="s">
        <v>61</v>
      </c>
      <c r="T131" s="2469"/>
      <c r="U131" s="2045"/>
      <c r="V131" s="2554"/>
      <c r="W131" s="1721" t="s">
        <v>45</v>
      </c>
      <c r="X131" s="2469"/>
      <c r="Y131" s="1721"/>
      <c r="Z131" s="1721" t="s">
        <v>61</v>
      </c>
      <c r="AA131" s="2508"/>
      <c r="AB131" s="2047"/>
      <c r="AC131" s="2563"/>
      <c r="AD131" s="1721" t="s">
        <v>45</v>
      </c>
      <c r="AE131" s="2469"/>
      <c r="AF131" s="1721"/>
      <c r="AG131" s="1773" t="s">
        <v>61</v>
      </c>
      <c r="AH131" s="2554"/>
      <c r="AI131" s="2045"/>
      <c r="AJ131" s="2563"/>
      <c r="AK131" s="1721" t="s">
        <v>45</v>
      </c>
      <c r="AL131" s="2469"/>
      <c r="AM131" s="1773"/>
      <c r="AN131" s="2046" t="s">
        <v>61</v>
      </c>
      <c r="AO131" s="2469"/>
      <c r="AP131" s="2045"/>
      <c r="AQ131" s="2563"/>
      <c r="AR131" s="1721" t="s">
        <v>45</v>
      </c>
      <c r="AS131" s="1773"/>
      <c r="AT131" s="1720"/>
      <c r="AU131" s="1721" t="s">
        <v>61</v>
      </c>
      <c r="AV131" s="1721"/>
      <c r="AW131" s="2045"/>
    </row>
    <row r="132" spans="3:49" ht="39.75" customHeight="1">
      <c r="C132" s="1012" t="s">
        <v>116</v>
      </c>
      <c r="D132" s="1013" t="s">
        <v>104</v>
      </c>
      <c r="E132" s="97" t="str">
        <f>E117</f>
        <v>24~28</v>
      </c>
      <c r="F132" s="1889" t="str">
        <f>F117</f>
        <v>(26±2)</v>
      </c>
      <c r="I132" s="3107">
        <f>I117</f>
        <v>0</v>
      </c>
      <c r="J132" s="3108"/>
      <c r="K132" s="3108"/>
      <c r="L132" s="3108">
        <f>L117</f>
        <v>0</v>
      </c>
      <c r="M132" s="3108"/>
      <c r="N132" s="3108"/>
      <c r="O132" s="2541"/>
      <c r="P132" s="3107">
        <f>P117</f>
        <v>0</v>
      </c>
      <c r="Q132" s="3108"/>
      <c r="R132" s="3108"/>
      <c r="S132" s="3108">
        <f>S117</f>
        <v>0</v>
      </c>
      <c r="T132" s="3108"/>
      <c r="U132" s="3108"/>
      <c r="V132" s="2558"/>
      <c r="W132" s="3107">
        <f>W117</f>
        <v>0</v>
      </c>
      <c r="X132" s="3108"/>
      <c r="Y132" s="3108"/>
      <c r="Z132" s="3108">
        <f>Z117</f>
        <v>0</v>
      </c>
      <c r="AA132" s="3108"/>
      <c r="AB132" s="3108"/>
      <c r="AC132" s="2568"/>
      <c r="AD132" s="3107">
        <f>AD117</f>
        <v>0</v>
      </c>
      <c r="AE132" s="3108"/>
      <c r="AF132" s="3108"/>
      <c r="AG132" s="3108">
        <f>AG117</f>
        <v>0</v>
      </c>
      <c r="AH132" s="3108"/>
      <c r="AI132" s="3108"/>
      <c r="AJ132" s="2541"/>
      <c r="AK132" s="3107">
        <f>AK117</f>
        <v>0</v>
      </c>
      <c r="AL132" s="3108"/>
      <c r="AM132" s="3108"/>
      <c r="AN132" s="3108">
        <f>AN117</f>
        <v>0</v>
      </c>
      <c r="AO132" s="3108"/>
      <c r="AP132" s="3108"/>
      <c r="AQ132" s="2558"/>
      <c r="AR132" s="3107">
        <f>AR117</f>
        <v>0</v>
      </c>
      <c r="AS132" s="3108"/>
      <c r="AT132" s="3108"/>
      <c r="AU132" s="3108">
        <f>AU117</f>
        <v>0</v>
      </c>
      <c r="AV132" s="3108"/>
      <c r="AW132" s="3109"/>
    </row>
    <row r="133" spans="3:49" ht="39.75" customHeight="1">
      <c r="C133" s="1012" t="s">
        <v>1480</v>
      </c>
      <c r="D133" s="1013" t="s">
        <v>104</v>
      </c>
      <c r="E133" s="97" t="str">
        <f>E118</f>
        <v>20~30</v>
      </c>
      <c r="F133" s="1889" t="str">
        <f t="shared" ref="F133" si="70">F118</f>
        <v>(25±5)</v>
      </c>
      <c r="I133" s="3107">
        <f t="shared" ref="I133" si="71">I118</f>
        <v>0</v>
      </c>
      <c r="J133" s="3108"/>
      <c r="K133" s="3108"/>
      <c r="L133" s="3108">
        <f t="shared" ref="L133" si="72">L118</f>
        <v>0</v>
      </c>
      <c r="M133" s="3108"/>
      <c r="N133" s="3108"/>
      <c r="O133" s="2541"/>
      <c r="P133" s="3107">
        <f t="shared" ref="P133" si="73">P118</f>
        <v>0</v>
      </c>
      <c r="Q133" s="3108"/>
      <c r="R133" s="3108"/>
      <c r="S133" s="3108">
        <f t="shared" ref="S133" si="74">S118</f>
        <v>0</v>
      </c>
      <c r="T133" s="3108"/>
      <c r="U133" s="3108"/>
      <c r="V133" s="2558"/>
      <c r="W133" s="3107">
        <f t="shared" ref="W133" si="75">W118</f>
        <v>0</v>
      </c>
      <c r="X133" s="3108"/>
      <c r="Y133" s="3108"/>
      <c r="Z133" s="3108">
        <f t="shared" ref="Z133" si="76">Z118</f>
        <v>0</v>
      </c>
      <c r="AA133" s="3108"/>
      <c r="AB133" s="3108"/>
      <c r="AC133" s="2568"/>
      <c r="AD133" s="3107">
        <f t="shared" ref="AD133" si="77">AD118</f>
        <v>0</v>
      </c>
      <c r="AE133" s="3108"/>
      <c r="AF133" s="3108"/>
      <c r="AG133" s="3108">
        <f t="shared" ref="AG133" si="78">AG118</f>
        <v>0</v>
      </c>
      <c r="AH133" s="3108"/>
      <c r="AI133" s="3108"/>
      <c r="AJ133" s="2541"/>
      <c r="AK133" s="3107">
        <f t="shared" ref="AK133" si="79">AK118</f>
        <v>0</v>
      </c>
      <c r="AL133" s="3108"/>
      <c r="AM133" s="3108"/>
      <c r="AN133" s="3108">
        <f t="shared" ref="AN133" si="80">AN118</f>
        <v>0</v>
      </c>
      <c r="AO133" s="3108"/>
      <c r="AP133" s="3108"/>
      <c r="AQ133" s="2558"/>
      <c r="AR133" s="3107">
        <f t="shared" ref="AR133" si="81">AR118</f>
        <v>0</v>
      </c>
      <c r="AS133" s="3108"/>
      <c r="AT133" s="3108"/>
      <c r="AU133" s="3108">
        <f t="shared" ref="AU133" si="82">AU118</f>
        <v>0</v>
      </c>
      <c r="AV133" s="3108"/>
      <c r="AW133" s="3109"/>
    </row>
    <row r="134" spans="3:49">
      <c r="F134" s="12"/>
    </row>
  </sheetData>
  <sheetProtection formatCells="0" formatColumns="0" formatRows="0" insertColumns="0" insertRows="0" insertHyperlinks="0" deleteColumns="0" deleteRows="0" selectLockedCells="1" sort="0" autoFilter="0" pivotTables="0"/>
  <mergeCells count="427">
    <mergeCell ref="AU113:AW113"/>
    <mergeCell ref="L109:O109"/>
    <mergeCell ref="S109:V109"/>
    <mergeCell ref="Z109:AC109"/>
    <mergeCell ref="AG109:AJ109"/>
    <mergeCell ref="AN109:AQ109"/>
    <mergeCell ref="L112:N112"/>
    <mergeCell ref="S112:U112"/>
    <mergeCell ref="Z112:AB112"/>
    <mergeCell ref="AG112:AI112"/>
    <mergeCell ref="AN112:AP112"/>
    <mergeCell ref="S110:U110"/>
    <mergeCell ref="AR109:AT109"/>
    <mergeCell ref="AR112:AT112"/>
    <mergeCell ref="AU112:AW112"/>
    <mergeCell ref="Z111:AB111"/>
    <mergeCell ref="AD111:AF111"/>
    <mergeCell ref="AG111:AI111"/>
    <mergeCell ref="AK111:AM111"/>
    <mergeCell ref="W111:Y111"/>
    <mergeCell ref="AU109:AW109"/>
    <mergeCell ref="AU110:AW110"/>
    <mergeCell ref="AU111:AW111"/>
    <mergeCell ref="W112:Y112"/>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Z107:AB107"/>
    <mergeCell ref="L108:N108"/>
    <mergeCell ref="S108:U108"/>
    <mergeCell ref="Z108:AB108"/>
    <mergeCell ref="I113:K113"/>
    <mergeCell ref="L113:N113"/>
    <mergeCell ref="P113:R113"/>
    <mergeCell ref="S113:U113"/>
    <mergeCell ref="W113:Y113"/>
    <mergeCell ref="Z113:AB113"/>
    <mergeCell ref="L107:N107"/>
    <mergeCell ref="S107:U107"/>
    <mergeCell ref="S115:U115"/>
    <mergeCell ref="Z117:AB117"/>
    <mergeCell ref="I115:K115"/>
    <mergeCell ref="L115:N115"/>
    <mergeCell ref="W115:Y115"/>
    <mergeCell ref="Z115:AB115"/>
    <mergeCell ref="P115:R115"/>
    <mergeCell ref="I116:K116"/>
    <mergeCell ref="L116:O116"/>
    <mergeCell ref="P117:R117"/>
    <mergeCell ref="S117:U117"/>
    <mergeCell ref="P116:R116"/>
    <mergeCell ref="S116:V116"/>
    <mergeCell ref="C124:C125"/>
    <mergeCell ref="D124:D125"/>
    <mergeCell ref="E124:E125"/>
    <mergeCell ref="W132:Y132"/>
    <mergeCell ref="Z132:AB132"/>
    <mergeCell ref="W121:AB121"/>
    <mergeCell ref="AD118:AF118"/>
    <mergeCell ref="Z118:AB118"/>
    <mergeCell ref="AD121:AI121"/>
    <mergeCell ref="I120:N120"/>
    <mergeCell ref="P120:U120"/>
    <mergeCell ref="W120:AB120"/>
    <mergeCell ref="AD120:AI120"/>
    <mergeCell ref="I121:N121"/>
    <mergeCell ref="P121:U121"/>
    <mergeCell ref="I118:K118"/>
    <mergeCell ref="L118:N118"/>
    <mergeCell ref="P118:R118"/>
    <mergeCell ref="S118:U118"/>
    <mergeCell ref="W118:Y118"/>
    <mergeCell ref="W133:Y133"/>
    <mergeCell ref="Z133:AB133"/>
    <mergeCell ref="F124:F125"/>
    <mergeCell ref="AG116:AJ116"/>
    <mergeCell ref="AK116:AM116"/>
    <mergeCell ref="AD132:AF132"/>
    <mergeCell ref="AG132:AI132"/>
    <mergeCell ref="AD133:AF133"/>
    <mergeCell ref="AG133:AI133"/>
    <mergeCell ref="I132:K132"/>
    <mergeCell ref="L132:N132"/>
    <mergeCell ref="I133:K133"/>
    <mergeCell ref="L133:N133"/>
    <mergeCell ref="P132:R132"/>
    <mergeCell ref="S132:U132"/>
    <mergeCell ref="W116:Y116"/>
    <mergeCell ref="Z116:AC116"/>
    <mergeCell ref="AK133:AM133"/>
    <mergeCell ref="AG118:AI118"/>
    <mergeCell ref="I117:K117"/>
    <mergeCell ref="L117:N117"/>
    <mergeCell ref="W117:Y117"/>
    <mergeCell ref="AD117:AF117"/>
    <mergeCell ref="AG117:AI117"/>
    <mergeCell ref="L65:N65"/>
    <mergeCell ref="P133:R133"/>
    <mergeCell ref="S133:U133"/>
    <mergeCell ref="I63:K63"/>
    <mergeCell ref="I105:K105"/>
    <mergeCell ref="L105:N105"/>
    <mergeCell ref="I106:K106"/>
    <mergeCell ref="L106:N106"/>
    <mergeCell ref="P106:R106"/>
    <mergeCell ref="I72:N72"/>
    <mergeCell ref="P69:R69"/>
    <mergeCell ref="I69:K69"/>
    <mergeCell ref="I67:K67"/>
    <mergeCell ref="I68:K68"/>
    <mergeCell ref="I112:K112"/>
    <mergeCell ref="I111:K111"/>
    <mergeCell ref="P109:R109"/>
    <mergeCell ref="L110:N110"/>
    <mergeCell ref="S111:U111"/>
    <mergeCell ref="I110:K110"/>
    <mergeCell ref="P108:R108"/>
    <mergeCell ref="P111:R111"/>
    <mergeCell ref="S65:U65"/>
    <mergeCell ref="I108:K108"/>
    <mergeCell ref="I34:K34"/>
    <mergeCell ref="W105:Y105"/>
    <mergeCell ref="W68:Y68"/>
    <mergeCell ref="AK67:AM67"/>
    <mergeCell ref="AG68:AJ68"/>
    <mergeCell ref="AD106:AF106"/>
    <mergeCell ref="I107:K107"/>
    <mergeCell ref="P107:R107"/>
    <mergeCell ref="W107:Y107"/>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Z29:AB29"/>
    <mergeCell ref="AU67:AW67"/>
    <mergeCell ref="I109:K109"/>
    <mergeCell ref="AD110:AF110"/>
    <mergeCell ref="W108:Y108"/>
    <mergeCell ref="L111:N111"/>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I30:K30"/>
    <mergeCell ref="L30:N30"/>
    <mergeCell ref="P30:R30"/>
    <mergeCell ref="S30:U30"/>
    <mergeCell ref="W30:Y30"/>
    <mergeCell ref="L31:N31"/>
    <mergeCell ref="S31:U31"/>
    <mergeCell ref="Z31:AB31"/>
    <mergeCell ref="AG31:AI31"/>
    <mergeCell ref="I32:K32"/>
    <mergeCell ref="L32:N32"/>
    <mergeCell ref="P32:R32"/>
    <mergeCell ref="S32:U32"/>
    <mergeCell ref="W32:Y32"/>
    <mergeCell ref="I33:K33"/>
    <mergeCell ref="L33:N33"/>
    <mergeCell ref="P33:R33"/>
    <mergeCell ref="S33:U33"/>
    <mergeCell ref="W33:Y33"/>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W65:Y65"/>
    <mergeCell ref="AD65:AF65"/>
    <mergeCell ref="AR37:AW37"/>
    <mergeCell ref="AU108:AW108"/>
    <mergeCell ref="AU107:AW107"/>
    <mergeCell ref="AR107:AT107"/>
    <mergeCell ref="AG105:AI105"/>
    <mergeCell ref="AD69:AF69"/>
    <mergeCell ref="AD68:AF68"/>
    <mergeCell ref="AU106:AW106"/>
    <mergeCell ref="AU70:AW70"/>
    <mergeCell ref="AU105:AW105"/>
    <mergeCell ref="AR68:AT68"/>
    <mergeCell ref="AU69:AW69"/>
    <mergeCell ref="AK105:AM105"/>
    <mergeCell ref="AR72:AW72"/>
    <mergeCell ref="AU68:AW68"/>
    <mergeCell ref="AR69:AT69"/>
    <mergeCell ref="AG70:AI70"/>
    <mergeCell ref="AN70:AP70"/>
    <mergeCell ref="AD105:AF105"/>
    <mergeCell ref="AG107:AI107"/>
    <mergeCell ref="AG108:AI108"/>
    <mergeCell ref="AR66:AT66"/>
    <mergeCell ref="AN67:AQ67"/>
    <mergeCell ref="AR70:AT70"/>
    <mergeCell ref="AR108:AT108"/>
    <mergeCell ref="AK108:AM108"/>
    <mergeCell ref="AD70:AF70"/>
    <mergeCell ref="AK70:AM70"/>
    <mergeCell ref="AG106:AI106"/>
    <mergeCell ref="AK106:AM106"/>
    <mergeCell ref="AN106:AP106"/>
    <mergeCell ref="AR106:AT106"/>
    <mergeCell ref="AD107:AF107"/>
    <mergeCell ref="AR105:AT105"/>
    <mergeCell ref="AK107:AM107"/>
    <mergeCell ref="AN107:AP107"/>
    <mergeCell ref="AD108:AF108"/>
    <mergeCell ref="AD116:AF116"/>
    <mergeCell ref="AN113:AP113"/>
    <mergeCell ref="AR115:AT115"/>
    <mergeCell ref="AR114:AT114"/>
    <mergeCell ref="AR113:AT113"/>
    <mergeCell ref="AD113:AF113"/>
    <mergeCell ref="AG113:AI113"/>
    <mergeCell ref="AK113:AM113"/>
    <mergeCell ref="AN108:AP108"/>
    <mergeCell ref="G76:G77"/>
    <mergeCell ref="I70:K70"/>
    <mergeCell ref="P70:R70"/>
    <mergeCell ref="W70:Y70"/>
    <mergeCell ref="S105:U105"/>
    <mergeCell ref="P105:R105"/>
    <mergeCell ref="W110:Y110"/>
    <mergeCell ref="Z110:AB110"/>
    <mergeCell ref="AK115:AM115"/>
    <mergeCell ref="P110:R110"/>
    <mergeCell ref="P112:R112"/>
    <mergeCell ref="W73:AB73"/>
    <mergeCell ref="L70:N70"/>
    <mergeCell ref="S70:U70"/>
    <mergeCell ref="AD109:AF109"/>
    <mergeCell ref="Z105:AB105"/>
    <mergeCell ref="S106:U106"/>
    <mergeCell ref="W106:Y106"/>
    <mergeCell ref="Z106:AB106"/>
    <mergeCell ref="AD115:AF115"/>
    <mergeCell ref="W109:Y109"/>
    <mergeCell ref="AG115:AI115"/>
    <mergeCell ref="AK109:AM109"/>
    <mergeCell ref="AD112:AF112"/>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AR133:AT133"/>
    <mergeCell ref="AU133:AW133"/>
    <mergeCell ref="AN133:AP133"/>
    <mergeCell ref="AK132:AM132"/>
    <mergeCell ref="AN132:AP132"/>
    <mergeCell ref="AR132:AT132"/>
    <mergeCell ref="AK118:AM118"/>
    <mergeCell ref="AN118:AP118"/>
    <mergeCell ref="AU132:AW132"/>
    <mergeCell ref="AU115:AW115"/>
    <mergeCell ref="AR121:AW121"/>
    <mergeCell ref="AR120:AW120"/>
    <mergeCell ref="AK121:AP121"/>
    <mergeCell ref="AK120:AP120"/>
    <mergeCell ref="AN116:AQ116"/>
    <mergeCell ref="AR116:AT116"/>
    <mergeCell ref="AU116:AW116"/>
    <mergeCell ref="AR118:AT118"/>
    <mergeCell ref="AU118:AW118"/>
    <mergeCell ref="AK117:AM117"/>
    <mergeCell ref="AN117:AP117"/>
    <mergeCell ref="AU117:AW117"/>
    <mergeCell ref="AN115:AP115"/>
    <mergeCell ref="AR117:AT117"/>
    <mergeCell ref="Z65:AB65"/>
    <mergeCell ref="AG65:AI65"/>
    <mergeCell ref="AN65:AP65"/>
    <mergeCell ref="AU114:AW114"/>
    <mergeCell ref="I114:K114"/>
    <mergeCell ref="L114:N114"/>
    <mergeCell ref="P114:R114"/>
    <mergeCell ref="S114:U114"/>
    <mergeCell ref="W114:Y114"/>
    <mergeCell ref="Z114:AB114"/>
    <mergeCell ref="AD114:AF114"/>
    <mergeCell ref="AG114:AI114"/>
    <mergeCell ref="AK114:AM114"/>
    <mergeCell ref="AN114:AP114"/>
    <mergeCell ref="AK112:AM112"/>
    <mergeCell ref="AR111:AT111"/>
    <mergeCell ref="AN111:AP111"/>
    <mergeCell ref="AN110:AP110"/>
    <mergeCell ref="AR110:AT110"/>
    <mergeCell ref="AG110:AI110"/>
    <mergeCell ref="AK110:AM110"/>
    <mergeCell ref="AR67:AT67"/>
    <mergeCell ref="AN105:AP105"/>
    <mergeCell ref="AK69:AM69"/>
  </mergeCells>
  <phoneticPr fontId="7" type="noConversion"/>
  <conditionalFormatting sqref="AU118:AW118 AR118 Z118:AB118 W118 AG118:AI118 AD118 L118:N118 I118 AN118:AP118 AK118 S118:U118 P118">
    <cfRule type="expression" dxfId="4172" priority="9026">
      <formula>I118&lt;20</formula>
    </cfRule>
    <cfRule type="expression" dxfId="4171" priority="9027">
      <formula>I118&gt;30</formula>
    </cfRule>
  </conditionalFormatting>
  <conditionalFormatting sqref="AR37 AK37 AD37 W37 I37 P37">
    <cfRule type="expression" dxfId="4170" priority="8874">
      <formula>I37&lt;300</formula>
    </cfRule>
    <cfRule type="expression" dxfId="4169" priority="8875">
      <formula>I37&gt;360</formula>
    </cfRule>
  </conditionalFormatting>
  <conditionalFormatting sqref="I120 AD120 W120 P120 AK120 AR120 AD38 W38 I38 P38 AK38 AR38">
    <cfRule type="expression" dxfId="4168" priority="8872">
      <formula>I38&lt;30</formula>
    </cfRule>
    <cfRule type="expression" dxfId="4167" priority="8873">
      <formula>I38&gt;50</formula>
    </cfRule>
  </conditionalFormatting>
  <conditionalFormatting sqref="I72 P72 V72:W72 AR72 AD72 AK72">
    <cfRule type="expression" dxfId="4166" priority="7966">
      <formula>I72&lt;100</formula>
    </cfRule>
    <cfRule type="expression" dxfId="4165" priority="7967">
      <formula>I72&gt;200</formula>
    </cfRule>
  </conditionalFormatting>
  <conditionalFormatting sqref="I73 P73 AD73 AK73 AR73 V73:W73">
    <cfRule type="expression" dxfId="4164" priority="13034">
      <formula>I73&lt;20</formula>
    </cfRule>
    <cfRule type="expression" dxfId="4163" priority="13034">
      <formula>I73&gt;50</formula>
    </cfRule>
  </conditionalFormatting>
  <conditionalFormatting sqref="AR117 AU117:AV117 I117 L117:M117 W117 Z117:AA117 AD117 AG117:AH117 AK117 AN117:AO117 P117 S117:T117 AR132 AU132:AV132 I132 L132:M132 W132 Z132:AA132 AD132 AG132:AH132 AK132 AN132:AO132 P132 S132:T132">
    <cfRule type="expression" dxfId="4162" priority="7478">
      <formula>I117&lt;24</formula>
    </cfRule>
    <cfRule type="expression" dxfId="4161" priority="7479">
      <formula>I117&gt;28</formula>
    </cfRule>
  </conditionalFormatting>
  <conditionalFormatting sqref="I121 AD121 W121 P121 AK121 AR121">
    <cfRule type="expression" dxfId="4160" priority="6972">
      <formula>I121&lt;160</formula>
    </cfRule>
    <cfRule type="expression" dxfId="4159" priority="6973">
      <formula>I121&gt;220</formula>
    </cfRule>
  </conditionalFormatting>
  <conditionalFormatting sqref="I116 L116:M116 P116 S116:T116 W116 Z116:AA116 AD116 AG116:AH116 AR116 AU116:AV116 AK116 AN116:AO116">
    <cfRule type="expression" dxfId="4158" priority="4982">
      <formula>I116&lt;30</formula>
    </cfRule>
    <cfRule type="expression" dxfId="4157" priority="4983">
      <formula>I116&gt;40</formula>
    </cfRule>
  </conditionalFormatting>
  <conditionalFormatting sqref="I116:AW116">
    <cfRule type="cellIs" dxfId="4156" priority="4980" operator="between">
      <formula>37.1</formula>
      <formula>40</formula>
    </cfRule>
    <cfRule type="cellIs" dxfId="4155" priority="4981" operator="between">
      <formula>30</formula>
      <formula>30.9</formula>
    </cfRule>
  </conditionalFormatting>
  <conditionalFormatting sqref="I22 P22 W22 AD22 AK22 AR22 AZ22">
    <cfRule type="cellIs" dxfId="4154" priority="4795" operator="between">
      <formula>5%</formula>
      <formula>6.99%</formula>
    </cfRule>
    <cfRule type="cellIs" dxfId="4153" priority="4796" operator="between">
      <formula>12.99%</formula>
      <formula>15%</formula>
    </cfRule>
    <cfRule type="expression" dxfId="4152" priority="4797">
      <formula>I22&lt;5%</formula>
    </cfRule>
    <cfRule type="expression" dxfId="4151" priority="4798">
      <formula>I22&gt;15%</formula>
    </cfRule>
  </conditionalFormatting>
  <conditionalFormatting sqref="AZ98">
    <cfRule type="cellIs" dxfId="4150" priority="3634" operator="between">
      <formula>2.21</formula>
      <formula>2.4</formula>
    </cfRule>
    <cfRule type="expression" dxfId="4149" priority="3635">
      <formula>AZ98&lt;1.8</formula>
    </cfRule>
    <cfRule type="expression" dxfId="4148" priority="3636">
      <formula>AZ98&gt;2.4</formula>
    </cfRule>
  </conditionalFormatting>
  <conditionalFormatting sqref="I100 W100 AR100 AD100 AK100 P100 I127 W127 AR127 AD127 AK127 P127">
    <cfRule type="expression" dxfId="4147" priority="2460" stopIfTrue="1">
      <formula>I100&gt;140</formula>
    </cfRule>
    <cfRule type="expression" dxfId="4146" priority="2461" stopIfTrue="1">
      <formula>I100&lt;130</formula>
    </cfRule>
  </conditionalFormatting>
  <conditionalFormatting sqref="W128 AR128 AD128 AK128 P128 AR101 I101 P101 AK101 W101 AD101 I128">
    <cfRule type="cellIs" dxfId="4145" priority="2457" operator="between">
      <formula>3</formula>
      <formula>4.099</formula>
    </cfRule>
    <cfRule type="expression" dxfId="4144" priority="2458">
      <formula>I101&lt;3</formula>
    </cfRule>
    <cfRule type="expression" dxfId="4143" priority="2459">
      <formula>I101&gt;4.5</formula>
    </cfRule>
  </conditionalFormatting>
  <conditionalFormatting sqref="I99 W99 AD99 AR99 AK99 P99 I126 W126 AD126 AR126 AK126 P126">
    <cfRule type="expression" dxfId="4142" priority="2455">
      <formula>I99&lt;5</formula>
    </cfRule>
    <cfRule type="expression" dxfId="4141" priority="2456">
      <formula>I99&gt;6</formula>
    </cfRule>
  </conditionalFormatting>
  <conditionalFormatting sqref="AU133:AW133 AR133 Z133:AB133 W133 AG133:AI133 AD133 L133:N133 I133">
    <cfRule type="expression" dxfId="4140" priority="2453">
      <formula>I133&lt;20</formula>
    </cfRule>
    <cfRule type="expression" dxfId="4139" priority="2454">
      <formula>I133&gt;30</formula>
    </cfRule>
  </conditionalFormatting>
  <conditionalFormatting sqref="AN133:AP133 AK133">
    <cfRule type="expression" dxfId="4138" priority="2447">
      <formula>AK133&lt;20</formula>
    </cfRule>
    <cfRule type="expression" dxfId="4137" priority="2448">
      <formula>AK133&gt;30</formula>
    </cfRule>
  </conditionalFormatting>
  <conditionalFormatting sqref="S133:U133 P133">
    <cfRule type="expression" dxfId="4136" priority="2441">
      <formula>P133&lt;20</formula>
    </cfRule>
    <cfRule type="expression" dxfId="4135" priority="2442">
      <formula>P133&gt;30</formula>
    </cfRule>
  </conditionalFormatting>
  <conditionalFormatting sqref="I16 P16 W16 AD16 AK16 AR16 AZ16 I51 P51 W51 AD51 AK51 AR51 AZ51">
    <cfRule type="cellIs" dxfId="4134" priority="2096" operator="between">
      <formula>130</formula>
      <formula>132.99</formula>
    </cfRule>
    <cfRule type="cellIs" dxfId="4133" priority="2097" operator="between">
      <formula>147.1</formula>
      <formula>150</formula>
    </cfRule>
    <cfRule type="expression" dxfId="4132" priority="2098">
      <formula>I16&lt;130</formula>
    </cfRule>
    <cfRule type="expression" dxfId="4131" priority="2099">
      <formula>I16&gt;150</formula>
    </cfRule>
  </conditionalFormatting>
  <conditionalFormatting sqref="I17 P17 W17 AD17 AK17 AR17 AZ17 I52 P52 W52 AD52 AK52 AR52 AZ52">
    <cfRule type="expression" dxfId="4130" priority="2094">
      <formula>I17&lt;8</formula>
    </cfRule>
    <cfRule type="expression" dxfId="4129" priority="2095">
      <formula>I17&gt;12</formula>
    </cfRule>
  </conditionalFormatting>
  <conditionalFormatting sqref="AZ19">
    <cfRule type="cellIs" dxfId="4128" priority="2091" operator="between">
      <formula>1.6</formula>
      <formula>1.799</formula>
    </cfRule>
    <cfRule type="expression" dxfId="4127" priority="2092">
      <formula>AZ19&lt;1.6</formula>
    </cfRule>
    <cfRule type="expression" dxfId="4126" priority="2093">
      <formula>AZ19&gt;2.2</formula>
    </cfRule>
  </conditionalFormatting>
  <conditionalFormatting sqref="I21 P21 W21 AD21 AK21 AR21 AZ21 I56 P56 W56 AD56 AK56 AR56 AZ56">
    <cfRule type="cellIs" dxfId="4125" priority="2087" operator="between">
      <formula>15%</formula>
      <formula>16.99%</formula>
    </cfRule>
    <cfRule type="cellIs" dxfId="4124" priority="2088" operator="between">
      <formula>27.01%</formula>
      <formula>30%</formula>
    </cfRule>
    <cfRule type="expression" dxfId="4123" priority="2089">
      <formula>I21&lt;15%</formula>
    </cfRule>
    <cfRule type="expression" dxfId="4122" priority="2090">
      <formula>I21&gt;30%</formula>
    </cfRule>
  </conditionalFormatting>
  <conditionalFormatting sqref="I6 I9 P6 P9 W6 W9 AD6 AD9 AK6 AK9 AR6 AR9 AZ6 AZ9">
    <cfRule type="cellIs" dxfId="4121" priority="2079" operator="between">
      <formula>20</formula>
      <formula>24.99</formula>
    </cfRule>
    <cfRule type="cellIs" dxfId="4120" priority="2080" operator="between">
      <formula>35.1</formula>
      <formula>40</formula>
    </cfRule>
    <cfRule type="expression" dxfId="4119" priority="2081">
      <formula>I6&lt;20</formula>
    </cfRule>
    <cfRule type="expression" dxfId="4118" priority="2082">
      <formula>I6&gt;40</formula>
    </cfRule>
  </conditionalFormatting>
  <conditionalFormatting sqref="I12 I14 P12 P14 W12 W14 AD12 AD14 AK12 AK14 AR12 AR14 AZ12 AZ14">
    <cfRule type="expression" dxfId="4117" priority="2077" stopIfTrue="1">
      <formula>I12&gt;80</formula>
    </cfRule>
    <cfRule type="expression" dxfId="4116" priority="2078" stopIfTrue="1">
      <formula>I12&lt;60</formula>
    </cfRule>
  </conditionalFormatting>
  <conditionalFormatting sqref="I20 P20 W20 AD20 AK20 AR20 AZ20 I55 P55 W55 AD55 AK55 AR55 AZ55">
    <cfRule type="cellIs" dxfId="4115" priority="2073" operator="between">
      <formula>30%</formula>
      <formula>39.99%</formula>
    </cfRule>
    <cfRule type="cellIs" dxfId="4114" priority="2074" operator="between">
      <formula>50.01%</formula>
      <formula>60%</formula>
    </cfRule>
    <cfRule type="expression" dxfId="4113" priority="2075">
      <formula>I20&lt;30%</formula>
    </cfRule>
    <cfRule type="expression" dxfId="4112" priority="2076">
      <formula>I20&gt;60%</formula>
    </cfRule>
  </conditionalFormatting>
  <conditionalFormatting sqref="I18 P18 W18 AD18 AK18 AR18 AZ18">
    <cfRule type="cellIs" dxfId="4111" priority="2070" operator="between">
      <formula>16.1</formula>
      <formula>18</formula>
    </cfRule>
    <cfRule type="expression" dxfId="4110" priority="2071">
      <formula>I18&lt;12</formula>
    </cfRule>
    <cfRule type="expression" dxfId="4109" priority="2072">
      <formula>I18&gt;18</formula>
    </cfRule>
  </conditionalFormatting>
  <conditionalFormatting sqref="I23 AZ23 AR23 AZ58 AK23 AD23 W23 P23">
    <cfRule type="cellIs" dxfId="4108" priority="2066" operator="between">
      <formula>0.5%</formula>
      <formula>0.599%</formula>
    </cfRule>
    <cfRule type="cellIs" dxfId="4107" priority="2067" operator="between">
      <formula>0.81%</formula>
      <formula>1%</formula>
    </cfRule>
    <cfRule type="expression" dxfId="4106" priority="2068">
      <formula>I23&lt;0.5%</formula>
    </cfRule>
    <cfRule type="expression" dxfId="4105" priority="2069">
      <formula>I23&gt;1%</formula>
    </cfRule>
  </conditionalFormatting>
  <conditionalFormatting sqref="I32 L32:M32 P32 S32:T32 W32 Z32:AA32 AD32 AG32:AH32 AK32 AN32:AO32 AR32 AU32:AV32">
    <cfRule type="cellIs" dxfId="4104" priority="1892" operator="between">
      <formula>20</formula>
      <formula>25.9</formula>
    </cfRule>
    <cfRule type="cellIs" dxfId="4103" priority="1893" operator="between">
      <formula>34.1</formula>
      <formula>35</formula>
    </cfRule>
    <cfRule type="expression" dxfId="4102" priority="1894">
      <formula>I32&lt;20</formula>
    </cfRule>
    <cfRule type="expression" dxfId="4101" priority="1895">
      <formula>I32&gt;35</formula>
    </cfRule>
  </conditionalFormatting>
  <conditionalFormatting sqref="I28:I29 L28:M29 P28:P29 S28:T29 W28:W29 Z28:AA29 AD28:AD29 AG28:AH29 AK28:AK29 AN28:AO29 AR28:AR29 AU28:AV29 I63:I64 L63:M64 P63:P64 S63:T64 W63:W64 Z63:AA64 AD63:AD64 AG63:AH64 AK63:AK64 AN63:AO64 AR63:AR64 AU63:AV64">
    <cfRule type="cellIs" dxfId="4100" priority="1888" operator="between">
      <formula>50</formula>
      <formula>54.9</formula>
    </cfRule>
    <cfRule type="cellIs" dxfId="4099" priority="1889" operator="between">
      <formula>65.1</formula>
      <formula>70</formula>
    </cfRule>
    <cfRule type="expression" dxfId="4098" priority="1890">
      <formula>I28&lt;50</formula>
    </cfRule>
    <cfRule type="expression" dxfId="4097" priority="1891">
      <formula>I28&gt;70</formula>
    </cfRule>
  </conditionalFormatting>
  <conditionalFormatting sqref="I33 L33 P33 S33 W33 Z33 AD33 AG33 AK33 AN33 AR33 AU33">
    <cfRule type="cellIs" dxfId="4096" priority="1874" operator="between">
      <formula>30</formula>
      <formula>30.9</formula>
    </cfRule>
    <cfRule type="cellIs" dxfId="4095" priority="1875" operator="between">
      <formula>37.1</formula>
      <formula>40</formula>
    </cfRule>
    <cfRule type="expression" dxfId="4094" priority="1876">
      <formula>I33&lt;30</formula>
    </cfRule>
    <cfRule type="expression" dxfId="4093" priority="1877">
      <formula>I33&gt;40</formula>
    </cfRule>
  </conditionalFormatting>
  <conditionalFormatting sqref="L35 S35 AG35 AN35 AU35 L70 S70 Z70 AG70 AN70 AU70 Z35">
    <cfRule type="cellIs" dxfId="4092" priority="1866" operator="between">
      <formula>80</formula>
      <formula>84.9</formula>
    </cfRule>
    <cfRule type="cellIs" dxfId="4091" priority="1867" operator="between">
      <formula>95.1</formula>
      <formula>100</formula>
    </cfRule>
    <cfRule type="expression" dxfId="4090" priority="1868">
      <formula>L35&lt;80</formula>
    </cfRule>
    <cfRule type="expression" dxfId="4089" priority="1869">
      <formula>L35&gt;100</formula>
    </cfRule>
  </conditionalFormatting>
  <conditionalFormatting sqref="I34 L34 P34 S34 W34 Z34 AD34 AG34 AK34 AN34 AR34 AU34 I47 I49 P47 P49 W47 W49 AD47 AD49 AK47 AK49 AR47 AR49 AZ47 AZ49 I69 L69 P69 S69 W69 Z69 AD69 AG69 AK69 AN69 AR69 AU69">
    <cfRule type="expression" dxfId="4088" priority="1864">
      <formula>I34&lt;50</formula>
    </cfRule>
    <cfRule type="expression" dxfId="4087" priority="1865">
      <formula>I34&gt;70</formula>
    </cfRule>
  </conditionalFormatting>
  <conditionalFormatting sqref="I54 P54 W54 AD54 AK54 AR54 AZ54">
    <cfRule type="cellIs" dxfId="4086" priority="1648" operator="between">
      <formula>2</formula>
      <formula>2.199</formula>
    </cfRule>
    <cfRule type="cellIs" dxfId="4085" priority="1649" operator="between">
      <formula>2.41</formula>
      <formula>2.5</formula>
    </cfRule>
    <cfRule type="expression" dxfId="4084" priority="1650">
      <formula>I54&lt;2</formula>
    </cfRule>
    <cfRule type="expression" dxfId="4083" priority="1651">
      <formula>I54&gt;2.5</formula>
    </cfRule>
  </conditionalFormatting>
  <conditionalFormatting sqref="I57 P57 W57 AD57 AK57 AR57 AZ57">
    <cfRule type="expression" dxfId="4082" priority="1646">
      <formula>I57&lt;5%</formula>
    </cfRule>
    <cfRule type="expression" dxfId="4081" priority="1647">
      <formula>I57&gt;15%</formula>
    </cfRule>
  </conditionalFormatting>
  <conditionalFormatting sqref="I57 P57 W57 AD57 AK57 AR57 AZ57">
    <cfRule type="cellIs" dxfId="4080" priority="1644" operator="between">
      <formula>5%</formula>
      <formula>6.99%</formula>
    </cfRule>
    <cfRule type="cellIs" dxfId="4079" priority="1645" operator="between">
      <formula>13.1%</formula>
      <formula>15%</formula>
    </cfRule>
  </conditionalFormatting>
  <conditionalFormatting sqref="I43 I45 P43 P45 W43 W45 AD43 AD45 AK43 AK45 AR43 AR45 AZ43 AZ45">
    <cfRule type="cellIs" dxfId="4078" priority="1640" operator="between">
      <formula>60</formula>
      <formula>64.99</formula>
    </cfRule>
    <cfRule type="cellIs" dxfId="4077" priority="1641" operator="between">
      <formula>75.1</formula>
      <formula>80</formula>
    </cfRule>
    <cfRule type="expression" dxfId="4076" priority="1642">
      <formula>I43&lt;60</formula>
    </cfRule>
    <cfRule type="expression" dxfId="4075" priority="1643">
      <formula>I43&gt;80</formula>
    </cfRule>
  </conditionalFormatting>
  <conditionalFormatting sqref="I53 P53 W53 AD53 AK53 AR53 AZ53">
    <cfRule type="cellIs" dxfId="4074" priority="1637" operator="between">
      <formula>8.01</formula>
      <formula>10</formula>
    </cfRule>
    <cfRule type="expression" dxfId="4073" priority="1638">
      <formula>I53&lt;6</formula>
    </cfRule>
    <cfRule type="expression" dxfId="4072" priority="1639">
      <formula>I53&gt;10</formula>
    </cfRule>
  </conditionalFormatting>
  <conditionalFormatting sqref="I67 L67:M67 P67 S67:T67 W67 Z67:AA67 AD67 AG67:AH67 AK67 AN67:AO67 AR67 AU67:AV67">
    <cfRule type="cellIs" dxfId="4071" priority="1392" operator="between">
      <formula>22</formula>
      <formula>25.99</formula>
    </cfRule>
    <cfRule type="cellIs" dxfId="4070" priority="1393" operator="between">
      <formula>34.1</formula>
      <formula>35</formula>
    </cfRule>
    <cfRule type="expression" dxfId="4069" priority="1394">
      <formula>I67&lt;22</formula>
    </cfRule>
    <cfRule type="expression" dxfId="4068" priority="1395">
      <formula>I67&gt;35</formula>
    </cfRule>
  </conditionalFormatting>
  <conditionalFormatting sqref="I68 L68:M68 P68 S68:T68 W68 Z68:AA68 AD68 AG68:AH68 AK68 AN68:AO68 AR68 AU68:AV68">
    <cfRule type="cellIs" dxfId="4067" priority="1388" operator="between">
      <formula>30</formula>
      <formula>31.99</formula>
    </cfRule>
    <cfRule type="cellIs" dxfId="4066" priority="1389" operator="between">
      <formula>36.1</formula>
      <formula>38</formula>
    </cfRule>
    <cfRule type="expression" dxfId="4065" priority="1390">
      <formula>I68&lt;30</formula>
    </cfRule>
    <cfRule type="expression" dxfId="4064" priority="1391">
      <formula>I68&gt;38</formula>
    </cfRule>
  </conditionalFormatting>
  <conditionalFormatting sqref="I86 P86 W86 AD86 AK86 AR86 AZ86">
    <cfRule type="expression" dxfId="4063" priority="1299" stopIfTrue="1">
      <formula>I86&lt;135</formula>
    </cfRule>
  </conditionalFormatting>
  <conditionalFormatting sqref="I86 P86 W86 AD86 AK86 AR86 AZ86">
    <cfRule type="expression" dxfId="4062" priority="1298" stopIfTrue="1">
      <formula>I86&gt;145</formula>
    </cfRule>
  </conditionalFormatting>
  <conditionalFormatting sqref="I88 P88 W88 AD88 AK88 AR88 AZ88">
    <cfRule type="cellIs" dxfId="4061" priority="1293" operator="between">
      <formula>7.01</formula>
      <formula>8</formula>
    </cfRule>
    <cfRule type="expression" dxfId="4060" priority="1294">
      <formula>I88&lt;5</formula>
    </cfRule>
    <cfRule type="expression" dxfId="4059" priority="1295">
      <formula>I88&gt;8</formula>
    </cfRule>
  </conditionalFormatting>
  <conditionalFormatting sqref="AZ90">
    <cfRule type="expression" dxfId="4058" priority="1289">
      <formula>AZ90&lt;10%</formula>
    </cfRule>
    <cfRule type="expression" dxfId="4057" priority="1290">
      <formula>AZ90&gt;20%</formula>
    </cfRule>
  </conditionalFormatting>
  <conditionalFormatting sqref="I82 I84 P82 P84 W82 W84 AD82 AD84 AK82 AK84 AR82 AR84 AZ82 AZ84">
    <cfRule type="cellIs" dxfId="4056" priority="1285" operator="between">
      <formula>50</formula>
      <formula>54.99</formula>
    </cfRule>
    <cfRule type="cellIs" dxfId="4055" priority="1286" operator="between">
      <formula>65.01</formula>
      <formula>70</formula>
    </cfRule>
    <cfRule type="expression" dxfId="4054" priority="1287">
      <formula>I82&lt;50</formula>
    </cfRule>
    <cfRule type="expression" dxfId="4053" priority="1288">
      <formula>I82&gt;70</formula>
    </cfRule>
  </conditionalFormatting>
  <conditionalFormatting sqref="I78 I80 P78 P80 W78 W80 AD78 AD80 AK78 AK80 AR78 AR80 AZ78 AZ80 I30:I31 L30:L31 P30:P31 S30:S31 W30:W31 Z30:Z31 AD30:AD31 AG30:AG31 AK30:AK31 AN30:AN31 AR30:AR31 AU30:AU31 I65:I66 L65:L66 P65:P66 S65:S66 W65:W66 Z65:Z66 AD65:AD66 AG65:AG66 AK65:AK66 AN65:AN66 AR65:AR66 AU65:AU66">
    <cfRule type="cellIs" dxfId="4052" priority="1281" operator="between">
      <formula>40</formula>
      <formula>44.99</formula>
    </cfRule>
    <cfRule type="cellIs" dxfId="4051" priority="1282" operator="between">
      <formula>55.1</formula>
      <formula>60</formula>
    </cfRule>
    <cfRule type="expression" dxfId="4050" priority="1283">
      <formula>I30&lt;40</formula>
    </cfRule>
    <cfRule type="expression" dxfId="4049" priority="1284">
      <formula>I30&gt;60</formula>
    </cfRule>
  </conditionalFormatting>
  <conditionalFormatting sqref="AZ91:AZ93">
    <cfRule type="expression" dxfId="4048" priority="1279">
      <formula>AZ91&lt;40%</formula>
    </cfRule>
    <cfRule type="expression" dxfId="4047" priority="1280">
      <formula>AZ91&gt;50%</formula>
    </cfRule>
  </conditionalFormatting>
  <conditionalFormatting sqref="AZ87">
    <cfRule type="expression" dxfId="4046" priority="1158">
      <formula>AZ87&lt;7.5</formula>
    </cfRule>
    <cfRule type="expression" dxfId="4045" priority="1159">
      <formula>AZ87&gt;9.5</formula>
    </cfRule>
  </conditionalFormatting>
  <conditionalFormatting sqref="AZ89:AZ90">
    <cfRule type="expression" dxfId="4044" priority="1153">
      <formula>AZ89&lt;2</formula>
    </cfRule>
    <cfRule type="expression" dxfId="4043" priority="1154">
      <formula>AZ89&gt;2.4</formula>
    </cfRule>
  </conditionalFormatting>
  <conditionalFormatting sqref="AZ94">
    <cfRule type="expression" dxfId="4042" priority="1139">
      <formula>AZ94&lt;0.6%</formula>
    </cfRule>
    <cfRule type="expression" dxfId="4041" priority="1140">
      <formula>AZ94&gt;1.4%</formula>
    </cfRule>
  </conditionalFormatting>
  <conditionalFormatting sqref="I109 L109:M109 P109 S109:T109 W109 Z109:AA109 AD109 AG109:AH109 AK109 AN109:AO109 AR109 AU109:AV109">
    <cfRule type="expression" dxfId="4040" priority="1137">
      <formula>I109&lt;22</formula>
    </cfRule>
    <cfRule type="expression" dxfId="4039" priority="1138">
      <formula>I109&gt;28</formula>
    </cfRule>
  </conditionalFormatting>
  <conditionalFormatting sqref="I105:I107 L105:M107 P105:P107 S105:T107 W105:W107 Z105:AA107 AD105:AD107 AG105:AH107 AK105:AK107 AN105:AO107 AR105:AR107 AU105:AV107">
    <cfRule type="cellIs" dxfId="4038" priority="1133" operator="between">
      <formula>50</formula>
      <formula>54.9</formula>
    </cfRule>
    <cfRule type="cellIs" dxfId="4037" priority="1134" operator="between">
      <formula>65.1</formula>
      <formula>70</formula>
    </cfRule>
    <cfRule type="expression" dxfId="4036" priority="1135">
      <formula>I105&lt;50</formula>
    </cfRule>
    <cfRule type="expression" dxfId="4035" priority="1136">
      <formula>I105&gt;70</formula>
    </cfRule>
  </conditionalFormatting>
  <conditionalFormatting sqref="I110">
    <cfRule type="cellIs" dxfId="4034" priority="1129" operator="between">
      <formula>30</formula>
      <formula>30.9</formula>
    </cfRule>
    <cfRule type="cellIs" dxfId="4033" priority="1130" operator="between">
      <formula>37.1</formula>
      <formula>40</formula>
    </cfRule>
    <cfRule type="expression" dxfId="4032" priority="1131">
      <formula>I110&lt;30</formula>
    </cfRule>
    <cfRule type="expression" dxfId="4031" priority="1132">
      <formula>I110&gt;40</formula>
    </cfRule>
  </conditionalFormatting>
  <conditionalFormatting sqref="L110">
    <cfRule type="cellIs" dxfId="4030" priority="1125" operator="between">
      <formula>30</formula>
      <formula>30.9</formula>
    </cfRule>
    <cfRule type="cellIs" dxfId="4029" priority="1126" operator="between">
      <formula>37.1</formula>
      <formula>40</formula>
    </cfRule>
    <cfRule type="expression" dxfId="4028" priority="1127">
      <formula>L110&lt;30</formula>
    </cfRule>
    <cfRule type="expression" dxfId="4027" priority="1128">
      <formula>L110&gt;40</formula>
    </cfRule>
  </conditionalFormatting>
  <conditionalFormatting sqref="P110">
    <cfRule type="cellIs" dxfId="4026" priority="1121" operator="between">
      <formula>30</formula>
      <formula>30.9</formula>
    </cfRule>
    <cfRule type="cellIs" dxfId="4025" priority="1122" operator="between">
      <formula>37.1</formula>
      <formula>40</formula>
    </cfRule>
    <cfRule type="expression" dxfId="4024" priority="1123">
      <formula>P110&lt;30</formula>
    </cfRule>
    <cfRule type="expression" dxfId="4023" priority="1124">
      <formula>P110&gt;40</formula>
    </cfRule>
  </conditionalFormatting>
  <conditionalFormatting sqref="S110">
    <cfRule type="cellIs" dxfId="4022" priority="1117" operator="between">
      <formula>30</formula>
      <formula>30.9</formula>
    </cfRule>
    <cfRule type="cellIs" dxfId="4021" priority="1118" operator="between">
      <formula>37.1</formula>
      <formula>40</formula>
    </cfRule>
    <cfRule type="expression" dxfId="4020" priority="1119">
      <formula>S110&lt;30</formula>
    </cfRule>
    <cfRule type="expression" dxfId="4019" priority="1120">
      <formula>S110&gt;40</formula>
    </cfRule>
  </conditionalFormatting>
  <conditionalFormatting sqref="W110">
    <cfRule type="cellIs" dxfId="4018" priority="1113" operator="between">
      <formula>30</formula>
      <formula>30.9</formula>
    </cfRule>
    <cfRule type="cellIs" dxfId="4017" priority="1114" operator="between">
      <formula>37.1</formula>
      <formula>40</formula>
    </cfRule>
    <cfRule type="expression" dxfId="4016" priority="1115">
      <formula>W110&lt;30</formula>
    </cfRule>
    <cfRule type="expression" dxfId="4015" priority="1116">
      <formula>W110&gt;40</formula>
    </cfRule>
  </conditionalFormatting>
  <conditionalFormatting sqref="Z110">
    <cfRule type="cellIs" dxfId="4014" priority="1109" operator="between">
      <formula>30</formula>
      <formula>30.9</formula>
    </cfRule>
    <cfRule type="cellIs" dxfId="4013" priority="1110" operator="between">
      <formula>37.1</formula>
      <formula>40</formula>
    </cfRule>
    <cfRule type="expression" dxfId="4012" priority="1111">
      <formula>Z110&lt;30</formula>
    </cfRule>
    <cfRule type="expression" dxfId="4011" priority="1112">
      <formula>Z110&gt;40</formula>
    </cfRule>
  </conditionalFormatting>
  <conditionalFormatting sqref="AD110">
    <cfRule type="cellIs" dxfId="4010" priority="1105" operator="between">
      <formula>30</formula>
      <formula>30.9</formula>
    </cfRule>
    <cfRule type="cellIs" dxfId="4009" priority="1106" operator="between">
      <formula>37.1</formula>
      <formula>40</formula>
    </cfRule>
    <cfRule type="expression" dxfId="4008" priority="1107">
      <formula>AD110&lt;30</formula>
    </cfRule>
    <cfRule type="expression" dxfId="4007" priority="1108">
      <formula>AD110&gt;40</formula>
    </cfRule>
  </conditionalFormatting>
  <conditionalFormatting sqref="AG110">
    <cfRule type="cellIs" dxfId="4006" priority="1101" operator="between">
      <formula>30</formula>
      <formula>30.9</formula>
    </cfRule>
    <cfRule type="cellIs" dxfId="4005" priority="1102" operator="between">
      <formula>37.1</formula>
      <formula>40</formula>
    </cfRule>
    <cfRule type="expression" dxfId="4004" priority="1103">
      <formula>AG110&lt;30</formula>
    </cfRule>
    <cfRule type="expression" dxfId="4003" priority="1104">
      <formula>AG110&gt;40</formula>
    </cfRule>
  </conditionalFormatting>
  <conditionalFormatting sqref="AK110">
    <cfRule type="cellIs" dxfId="4002" priority="1097" operator="between">
      <formula>30</formula>
      <formula>30.9</formula>
    </cfRule>
    <cfRule type="cellIs" dxfId="4001" priority="1098" operator="between">
      <formula>37.1</formula>
      <formula>40</formula>
    </cfRule>
    <cfRule type="expression" dxfId="4000" priority="1099">
      <formula>AK110&lt;30</formula>
    </cfRule>
    <cfRule type="expression" dxfId="3999" priority="1100">
      <formula>AK110&gt;40</formula>
    </cfRule>
  </conditionalFormatting>
  <conditionalFormatting sqref="AN110">
    <cfRule type="cellIs" dxfId="3998" priority="1093" operator="between">
      <formula>30</formula>
      <formula>30.9</formula>
    </cfRule>
    <cfRule type="cellIs" dxfId="3997" priority="1094" operator="between">
      <formula>37.1</formula>
      <formula>40</formula>
    </cfRule>
    <cfRule type="expression" dxfId="3996" priority="1095">
      <formula>AN110&lt;30</formula>
    </cfRule>
    <cfRule type="expression" dxfId="3995" priority="1096">
      <formula>AN110&gt;40</formula>
    </cfRule>
  </conditionalFormatting>
  <conditionalFormatting sqref="AR110">
    <cfRule type="cellIs" dxfId="3994" priority="1089" operator="between">
      <formula>30</formula>
      <formula>30.9</formula>
    </cfRule>
    <cfRule type="cellIs" dxfId="3993" priority="1090" operator="between">
      <formula>37.1</formula>
      <formula>40</formula>
    </cfRule>
    <cfRule type="expression" dxfId="3992" priority="1091">
      <formula>AR110&lt;30</formula>
    </cfRule>
    <cfRule type="expression" dxfId="3991" priority="1092">
      <formula>AR110&gt;40</formula>
    </cfRule>
  </conditionalFormatting>
  <conditionalFormatting sqref="AU110">
    <cfRule type="cellIs" dxfId="3990" priority="1085" operator="between">
      <formula>30</formula>
      <formula>30.9</formula>
    </cfRule>
    <cfRule type="cellIs" dxfId="3989" priority="1086" operator="between">
      <formula>37.1</formula>
      <formula>40</formula>
    </cfRule>
    <cfRule type="expression" dxfId="3988" priority="1087">
      <formula>AU110&lt;30</formula>
    </cfRule>
    <cfRule type="expression" dxfId="3987" priority="1088">
      <formula>AU110&gt;40</formula>
    </cfRule>
  </conditionalFormatting>
  <conditionalFormatting sqref="I111">
    <cfRule type="expression" dxfId="3986" priority="1083">
      <formula>I111&lt;55</formula>
    </cfRule>
    <cfRule type="expression" dxfId="3985" priority="1084">
      <formula>I111&gt;65</formula>
    </cfRule>
  </conditionalFormatting>
  <conditionalFormatting sqref="L111 O111">
    <cfRule type="expression" dxfId="3984" priority="1081">
      <formula>L111&lt;55</formula>
    </cfRule>
    <cfRule type="expression" dxfId="3983" priority="1082">
      <formula>L111&gt;65</formula>
    </cfRule>
  </conditionalFormatting>
  <conditionalFormatting sqref="P111 V111">
    <cfRule type="expression" dxfId="3982" priority="1079">
      <formula>P111&lt;55</formula>
    </cfRule>
    <cfRule type="expression" dxfId="3981" priority="1080">
      <formula>P111&gt;65</formula>
    </cfRule>
  </conditionalFormatting>
  <conditionalFormatting sqref="S111">
    <cfRule type="expression" dxfId="3980" priority="1077">
      <formula>S111&lt;55</formula>
    </cfRule>
    <cfRule type="expression" dxfId="3979" priority="1078">
      <formula>S111&gt;65</formula>
    </cfRule>
  </conditionalFormatting>
  <conditionalFormatting sqref="W111 AC111">
    <cfRule type="expression" dxfId="3978" priority="1075">
      <formula>W111&lt;55</formula>
    </cfRule>
    <cfRule type="expression" dxfId="3977" priority="1076">
      <formula>W111&gt;65</formula>
    </cfRule>
  </conditionalFormatting>
  <conditionalFormatting sqref="Z111">
    <cfRule type="expression" dxfId="3976" priority="1073">
      <formula>Z111&lt;55</formula>
    </cfRule>
    <cfRule type="expression" dxfId="3975" priority="1074">
      <formula>Z111&gt;65</formula>
    </cfRule>
  </conditionalFormatting>
  <conditionalFormatting sqref="AD111 AJ111">
    <cfRule type="expression" dxfId="3974" priority="1071">
      <formula>AD111&lt;55</formula>
    </cfRule>
    <cfRule type="expression" dxfId="3973" priority="1072">
      <formula>AD111&gt;65</formula>
    </cfRule>
  </conditionalFormatting>
  <conditionalFormatting sqref="AG111">
    <cfRule type="expression" dxfId="3972" priority="1069">
      <formula>AG111&lt;55</formula>
    </cfRule>
    <cfRule type="expression" dxfId="3971" priority="1070">
      <formula>AG111&gt;65</formula>
    </cfRule>
  </conditionalFormatting>
  <conditionalFormatting sqref="AK111 AQ111">
    <cfRule type="expression" dxfId="3970" priority="1067">
      <formula>AK111&lt;55</formula>
    </cfRule>
    <cfRule type="expression" dxfId="3969" priority="1068">
      <formula>AK111&gt;65</formula>
    </cfRule>
  </conditionalFormatting>
  <conditionalFormatting sqref="AN111">
    <cfRule type="expression" dxfId="3968" priority="1065">
      <formula>AN111&lt;55</formula>
    </cfRule>
    <cfRule type="expression" dxfId="3967" priority="1066">
      <formula>AN111&gt;65</formula>
    </cfRule>
  </conditionalFormatting>
  <conditionalFormatting sqref="AR111">
    <cfRule type="expression" dxfId="3966" priority="1063">
      <formula>AR111&lt;55</formula>
    </cfRule>
    <cfRule type="expression" dxfId="3965" priority="1064">
      <formula>AR111&gt;65</formula>
    </cfRule>
  </conditionalFormatting>
  <conditionalFormatting sqref="AU111">
    <cfRule type="expression" dxfId="3964" priority="1061">
      <formula>AU111&lt;55</formula>
    </cfRule>
    <cfRule type="expression" dxfId="3963" priority="1062">
      <formula>AU111&gt;65</formula>
    </cfRule>
  </conditionalFormatting>
  <conditionalFormatting sqref="L112">
    <cfRule type="cellIs" dxfId="3962" priority="1057" operator="between">
      <formula>80</formula>
      <formula>84.9</formula>
    </cfRule>
    <cfRule type="cellIs" dxfId="3961" priority="1058" operator="between">
      <formula>95.1</formula>
      <formula>100</formula>
    </cfRule>
    <cfRule type="expression" dxfId="3960" priority="1059">
      <formula>L112&lt;80</formula>
    </cfRule>
    <cfRule type="expression" dxfId="3959" priority="1060">
      <formula>L112&gt;100</formula>
    </cfRule>
  </conditionalFormatting>
  <conditionalFormatting sqref="S112">
    <cfRule type="cellIs" dxfId="3958" priority="1053" operator="between">
      <formula>80</formula>
      <formula>84.9</formula>
    </cfRule>
    <cfRule type="cellIs" dxfId="3957" priority="1054" operator="between">
      <formula>95.1</formula>
      <formula>100</formula>
    </cfRule>
    <cfRule type="expression" dxfId="3956" priority="1055">
      <formula>S112&lt;80</formula>
    </cfRule>
    <cfRule type="expression" dxfId="3955" priority="1056">
      <formula>S112&gt;100</formula>
    </cfRule>
  </conditionalFormatting>
  <conditionalFormatting sqref="Z112">
    <cfRule type="cellIs" dxfId="3954" priority="1049" operator="between">
      <formula>80</formula>
      <formula>84.9</formula>
    </cfRule>
    <cfRule type="cellIs" dxfId="3953" priority="1050" operator="between">
      <formula>95.1</formula>
      <formula>100</formula>
    </cfRule>
    <cfRule type="expression" dxfId="3952" priority="1051">
      <formula>Z112&lt;80</formula>
    </cfRule>
    <cfRule type="expression" dxfId="3951" priority="1052">
      <formula>Z112&gt;100</formula>
    </cfRule>
  </conditionalFormatting>
  <conditionalFormatting sqref="AG112">
    <cfRule type="cellIs" dxfId="3950" priority="1045" operator="between">
      <formula>80</formula>
      <formula>84.9</formula>
    </cfRule>
    <cfRule type="cellIs" dxfId="3949" priority="1046" operator="between">
      <formula>95.1</formula>
      <formula>100</formula>
    </cfRule>
    <cfRule type="expression" dxfId="3948" priority="1047">
      <formula>AG112&lt;80</formula>
    </cfRule>
    <cfRule type="expression" dxfId="3947" priority="1048">
      <formula>AG112&gt;100</formula>
    </cfRule>
  </conditionalFormatting>
  <conditionalFormatting sqref="AN112">
    <cfRule type="cellIs" dxfId="3946" priority="1041" operator="between">
      <formula>80</formula>
      <formula>84.9</formula>
    </cfRule>
    <cfRule type="cellIs" dxfId="3945" priority="1042" operator="between">
      <formula>95.1</formula>
      <formula>100</formula>
    </cfRule>
    <cfRule type="expression" dxfId="3944" priority="1043">
      <formula>AN112&lt;80</formula>
    </cfRule>
    <cfRule type="expression" dxfId="3943" priority="1044">
      <formula>AN112&gt;100</formula>
    </cfRule>
  </conditionalFormatting>
  <conditionalFormatting sqref="AU112">
    <cfRule type="cellIs" dxfId="3942" priority="1037" operator="between">
      <formula>80</formula>
      <formula>84.9</formula>
    </cfRule>
    <cfRule type="cellIs" dxfId="3941" priority="1038" operator="between">
      <formula>95.1</formula>
      <formula>100</formula>
    </cfRule>
    <cfRule type="expression" dxfId="3940" priority="1039">
      <formula>AU112&lt;80</formula>
    </cfRule>
    <cfRule type="expression" dxfId="3939" priority="1040">
      <formula>AU112&gt;100</formula>
    </cfRule>
  </conditionalFormatting>
  <conditionalFormatting sqref="I113">
    <cfRule type="expression" dxfId="3938" priority="1035">
      <formula>I113&lt;40</formula>
    </cfRule>
    <cfRule type="expression" dxfId="3937" priority="1036">
      <formula>I113&gt;60</formula>
    </cfRule>
  </conditionalFormatting>
  <conditionalFormatting sqref="L113">
    <cfRule type="expression" dxfId="3936" priority="1033">
      <formula>L113&lt;40</formula>
    </cfRule>
    <cfRule type="expression" dxfId="3935" priority="1034">
      <formula>L113&gt;60</formula>
    </cfRule>
  </conditionalFormatting>
  <conditionalFormatting sqref="P113">
    <cfRule type="expression" dxfId="3934" priority="1031">
      <formula>P113&lt;40</formula>
    </cfRule>
    <cfRule type="expression" dxfId="3933" priority="1032">
      <formula>P113&gt;60</formula>
    </cfRule>
  </conditionalFormatting>
  <conditionalFormatting sqref="S113">
    <cfRule type="expression" dxfId="3932" priority="1029">
      <formula>S113&lt;40</formula>
    </cfRule>
    <cfRule type="expression" dxfId="3931" priority="1030">
      <formula>S113&gt;60</formula>
    </cfRule>
  </conditionalFormatting>
  <conditionalFormatting sqref="W113">
    <cfRule type="expression" dxfId="3930" priority="1027">
      <formula>W113&lt;40</formula>
    </cfRule>
    <cfRule type="expression" dxfId="3929" priority="1028">
      <formula>W113&gt;60</formula>
    </cfRule>
  </conditionalFormatting>
  <conditionalFormatting sqref="Z113">
    <cfRule type="expression" dxfId="3928" priority="1025">
      <formula>Z113&lt;40</formula>
    </cfRule>
    <cfRule type="expression" dxfId="3927" priority="1026">
      <formula>Z113&gt;60</formula>
    </cfRule>
  </conditionalFormatting>
  <conditionalFormatting sqref="AD113">
    <cfRule type="expression" dxfId="3926" priority="1023">
      <formula>AD113&lt;40</formula>
    </cfRule>
    <cfRule type="expression" dxfId="3925" priority="1024">
      <formula>AD113&gt;60</formula>
    </cfRule>
  </conditionalFormatting>
  <conditionalFormatting sqref="AG113">
    <cfRule type="expression" dxfId="3924" priority="1021">
      <formula>AG113&lt;40</formula>
    </cfRule>
    <cfRule type="expression" dxfId="3923" priority="1022">
      <formula>AG113&gt;60</formula>
    </cfRule>
  </conditionalFormatting>
  <conditionalFormatting sqref="AK113">
    <cfRule type="expression" dxfId="3922" priority="1019">
      <formula>AK113&lt;40</formula>
    </cfRule>
    <cfRule type="expression" dxfId="3921" priority="1020">
      <formula>AK113&gt;60</formula>
    </cfRule>
  </conditionalFormatting>
  <conditionalFormatting sqref="AN113">
    <cfRule type="expression" dxfId="3920" priority="1017">
      <formula>AN113&lt;40</formula>
    </cfRule>
    <cfRule type="expression" dxfId="3919" priority="1018">
      <formula>AN113&gt;60</formula>
    </cfRule>
  </conditionalFormatting>
  <conditionalFormatting sqref="AR113">
    <cfRule type="expression" dxfId="3918" priority="1015">
      <formula>AR113&lt;40</formula>
    </cfRule>
    <cfRule type="expression" dxfId="3917" priority="1016">
      <formula>AR113&gt;60</formula>
    </cfRule>
  </conditionalFormatting>
  <conditionalFormatting sqref="AU113">
    <cfRule type="expression" dxfId="3916" priority="1013">
      <formula>AU113&lt;40</formula>
    </cfRule>
    <cfRule type="expression" dxfId="3915" priority="1014">
      <formula>AU113&gt;60</formula>
    </cfRule>
  </conditionalFormatting>
  <conditionalFormatting sqref="I114">
    <cfRule type="expression" dxfId="3914" priority="1011">
      <formula>I114&lt;50</formula>
    </cfRule>
    <cfRule type="expression" dxfId="3913" priority="1012">
      <formula>I114&gt;70</formula>
    </cfRule>
  </conditionalFormatting>
  <conditionalFormatting sqref="L114">
    <cfRule type="expression" dxfId="3912" priority="1009">
      <formula>L114&lt;50</formula>
    </cfRule>
    <cfRule type="expression" dxfId="3911" priority="1010">
      <formula>L114&gt;70</formula>
    </cfRule>
  </conditionalFormatting>
  <conditionalFormatting sqref="P114">
    <cfRule type="expression" dxfId="3910" priority="1007">
      <formula>P114&lt;50</formula>
    </cfRule>
    <cfRule type="expression" dxfId="3909" priority="1008">
      <formula>P114&gt;70</formula>
    </cfRule>
  </conditionalFormatting>
  <conditionalFormatting sqref="S114">
    <cfRule type="expression" dxfId="3908" priority="1005">
      <formula>S114&lt;50</formula>
    </cfRule>
    <cfRule type="expression" dxfId="3907" priority="1006">
      <formula>S114&gt;70</formula>
    </cfRule>
  </conditionalFormatting>
  <conditionalFormatting sqref="W114">
    <cfRule type="expression" dxfId="3906" priority="1003">
      <formula>W114&lt;50</formula>
    </cfRule>
    <cfRule type="expression" dxfId="3905" priority="1004">
      <formula>W114&gt;70</formula>
    </cfRule>
  </conditionalFormatting>
  <conditionalFormatting sqref="Z114">
    <cfRule type="expression" dxfId="3904" priority="1001">
      <formula>Z114&lt;50</formula>
    </cfRule>
    <cfRule type="expression" dxfId="3903" priority="1002">
      <formula>Z114&gt;70</formula>
    </cfRule>
  </conditionalFormatting>
  <conditionalFormatting sqref="AD114">
    <cfRule type="expression" dxfId="3902" priority="999">
      <formula>AD114&lt;50</formula>
    </cfRule>
    <cfRule type="expression" dxfId="3901" priority="1000">
      <formula>AD114&gt;70</formula>
    </cfRule>
  </conditionalFormatting>
  <conditionalFormatting sqref="AG114">
    <cfRule type="expression" dxfId="3900" priority="997">
      <formula>AG114&lt;50</formula>
    </cfRule>
    <cfRule type="expression" dxfId="3899" priority="998">
      <formula>AG114&gt;70</formula>
    </cfRule>
  </conditionalFormatting>
  <conditionalFormatting sqref="AK114">
    <cfRule type="expression" dxfId="3898" priority="995">
      <formula>AK114&lt;50</formula>
    </cfRule>
    <cfRule type="expression" dxfId="3897" priority="996">
      <formula>AK114&gt;70</formula>
    </cfRule>
  </conditionalFormatting>
  <conditionalFormatting sqref="AN114">
    <cfRule type="expression" dxfId="3896" priority="993">
      <formula>AN114&lt;50</formula>
    </cfRule>
    <cfRule type="expression" dxfId="3895" priority="994">
      <formula>AN114&gt;70</formula>
    </cfRule>
  </conditionalFormatting>
  <conditionalFormatting sqref="AR114">
    <cfRule type="expression" dxfId="3894" priority="991">
      <formula>AR114&lt;50</formula>
    </cfRule>
    <cfRule type="expression" dxfId="3893" priority="992">
      <formula>AR114&gt;70</formula>
    </cfRule>
  </conditionalFormatting>
  <conditionalFormatting sqref="AU114">
    <cfRule type="expression" dxfId="3892" priority="989">
      <formula>AU114&lt;50</formula>
    </cfRule>
    <cfRule type="expression" dxfId="3891" priority="990">
      <formula>AU114&gt;70</formula>
    </cfRule>
  </conditionalFormatting>
  <conditionalFormatting sqref="I108 L108:M108 P108 S108:T108 W108 Z108:AA108 AD108 AG108:AH108 AK108 AN108:AO108 AR108 AU108:AV108">
    <cfRule type="cellIs" dxfId="3890" priority="985" operator="between">
      <formula>50</formula>
      <formula>54.9</formula>
    </cfRule>
    <cfRule type="cellIs" dxfId="3889" priority="986" operator="between">
      <formula>65.1</formula>
      <formula>70</formula>
    </cfRule>
    <cfRule type="expression" dxfId="3888" priority="987">
      <formula>I108&lt;50</formula>
    </cfRule>
    <cfRule type="expression" dxfId="3887" priority="988">
      <formula>I108&gt;70</formula>
    </cfRule>
  </conditionalFormatting>
  <conditionalFormatting sqref="I24 P24 W24 AD24 AK24 AR24">
    <cfRule type="cellIs" dxfId="3886" priority="981" operator="between">
      <formula>5</formula>
      <formula>6.49</formula>
    </cfRule>
    <cfRule type="cellIs" dxfId="3885" priority="982" operator="between">
      <formula>8.51</formula>
      <formula>10</formula>
    </cfRule>
    <cfRule type="expression" dxfId="3884" priority="983">
      <formula>I24&lt;5</formula>
    </cfRule>
    <cfRule type="expression" dxfId="3883" priority="984">
      <formula>I24&gt;10</formula>
    </cfRule>
  </conditionalFormatting>
  <conditionalFormatting sqref="I59 AD59 AK59 P59:P60 W59:W60 AR59">
    <cfRule type="cellIs" dxfId="3882" priority="933" operator="between">
      <formula>5</formula>
      <formula>5.499</formula>
    </cfRule>
    <cfRule type="cellIs" dxfId="3881" priority="934" operator="between">
      <formula>6.51</formula>
      <formula>8</formula>
    </cfRule>
    <cfRule type="expression" dxfId="3880" priority="935">
      <formula>I59&lt;5</formula>
    </cfRule>
    <cfRule type="expression" dxfId="3879" priority="936">
      <formula>I59&gt;8</formula>
    </cfRule>
  </conditionalFormatting>
  <conditionalFormatting sqref="I60 P60 AD60 AK60 W60 AR60">
    <cfRule type="cellIs" dxfId="3878" priority="929" operator="between">
      <formula>1.8</formula>
      <formula>1.999</formula>
    </cfRule>
    <cfRule type="cellIs" dxfId="3877" priority="930" operator="between">
      <formula>2.21</formula>
      <formula>2.4</formula>
    </cfRule>
    <cfRule type="expression" dxfId="3876" priority="931">
      <formula>I60&lt;1.8</formula>
    </cfRule>
    <cfRule type="expression" dxfId="3875" priority="932">
      <formula>I60&gt;2.4</formula>
    </cfRule>
  </conditionalFormatting>
  <conditionalFormatting sqref="I115">
    <cfRule type="expression" dxfId="3874" priority="839">
      <formula>I115&lt;20</formula>
    </cfRule>
    <cfRule type="expression" dxfId="3873" priority="840">
      <formula>I115&gt;30</formula>
    </cfRule>
  </conditionalFormatting>
  <conditionalFormatting sqref="L115">
    <cfRule type="expression" dxfId="3872" priority="837">
      <formula>L115&lt;20</formula>
    </cfRule>
    <cfRule type="expression" dxfId="3871" priority="838">
      <formula>L115&gt;30</formula>
    </cfRule>
  </conditionalFormatting>
  <conditionalFormatting sqref="P115">
    <cfRule type="expression" dxfId="3870" priority="835">
      <formula>P115&lt;20</formula>
    </cfRule>
    <cfRule type="expression" dxfId="3869" priority="836">
      <formula>P115&gt;30</formula>
    </cfRule>
  </conditionalFormatting>
  <conditionalFormatting sqref="S115">
    <cfRule type="expression" dxfId="3868" priority="833">
      <formula>S115&lt;20</formula>
    </cfRule>
    <cfRule type="expression" dxfId="3867" priority="834">
      <formula>S115&gt;30</formula>
    </cfRule>
  </conditionalFormatting>
  <conditionalFormatting sqref="W115">
    <cfRule type="expression" dxfId="3866" priority="831">
      <formula>W115&lt;20</formula>
    </cfRule>
    <cfRule type="expression" dxfId="3865" priority="832">
      <formula>W115&gt;30</formula>
    </cfRule>
  </conditionalFormatting>
  <conditionalFormatting sqref="Z115">
    <cfRule type="expression" dxfId="3864" priority="829">
      <formula>Z115&lt;20</formula>
    </cfRule>
    <cfRule type="expression" dxfId="3863" priority="830">
      <formula>Z115&gt;30</formula>
    </cfRule>
  </conditionalFormatting>
  <conditionalFormatting sqref="AD115">
    <cfRule type="expression" dxfId="3862" priority="827">
      <formula>AD115&lt;20</formula>
    </cfRule>
    <cfRule type="expression" dxfId="3861" priority="828">
      <formula>AD115&gt;30</formula>
    </cfRule>
  </conditionalFormatting>
  <conditionalFormatting sqref="AG115">
    <cfRule type="expression" dxfId="3860" priority="825">
      <formula>AG115&lt;20</formula>
    </cfRule>
    <cfRule type="expression" dxfId="3859" priority="826">
      <formula>AG115&gt;30</formula>
    </cfRule>
  </conditionalFormatting>
  <conditionalFormatting sqref="AK115">
    <cfRule type="expression" dxfId="3858" priority="823">
      <formula>AK115&lt;20</formula>
    </cfRule>
    <cfRule type="expression" dxfId="3857" priority="824">
      <formula>AK115&gt;30</formula>
    </cfRule>
  </conditionalFormatting>
  <conditionalFormatting sqref="AN115">
    <cfRule type="expression" dxfId="3856" priority="821">
      <formula>AN115&lt;20</formula>
    </cfRule>
    <cfRule type="expression" dxfId="3855" priority="822">
      <formula>AN115&gt;30</formula>
    </cfRule>
  </conditionalFormatting>
  <conditionalFormatting sqref="AR115">
    <cfRule type="expression" dxfId="3854" priority="819">
      <formula>AR115&lt;20</formula>
    </cfRule>
    <cfRule type="expression" dxfId="3853" priority="820">
      <formula>AR115&gt;30</formula>
    </cfRule>
  </conditionalFormatting>
  <conditionalFormatting sqref="AU115">
    <cfRule type="expression" dxfId="3852" priority="817">
      <formula>AU115&lt;20</formula>
    </cfRule>
    <cfRule type="expression" dxfId="3851" priority="818">
      <formula>AU115&gt;30</formula>
    </cfRule>
  </conditionalFormatting>
  <conditionalFormatting sqref="I87 P87 W87 AD87 AK87 AR87">
    <cfRule type="cellIs" dxfId="3850" priority="717" operator="between">
      <formula>7</formula>
      <formula>7.499</formula>
    </cfRule>
    <cfRule type="cellIs" dxfId="3849" priority="718" operator="between">
      <formula>9.51</formula>
      <formula>10</formula>
    </cfRule>
    <cfRule type="expression" dxfId="3848" priority="719">
      <formula>I87&lt;7</formula>
    </cfRule>
    <cfRule type="expression" dxfId="3847" priority="720">
      <formula>I87&gt;10</formula>
    </cfRule>
  </conditionalFormatting>
  <conditionalFormatting sqref="I89 P89 W89 AD89 AK89 AR89">
    <cfRule type="cellIs" dxfId="3846" priority="481" operator="between">
      <formula>2</formula>
      <formula>2.099</formula>
    </cfRule>
    <cfRule type="cellIs" dxfId="3845" priority="482" operator="between">
      <formula>2.31</formula>
      <formula>2.4</formula>
    </cfRule>
    <cfRule type="expression" dxfId="3844" priority="483">
      <formula>I89&lt;2</formula>
    </cfRule>
    <cfRule type="expression" dxfId="3843" priority="484">
      <formula>I89&gt;2.4</formula>
    </cfRule>
  </conditionalFormatting>
  <conditionalFormatting sqref="I95 AL95">
    <cfRule type="cellIs" dxfId="3842" priority="311" operator="between">
      <formula>5</formula>
      <formula>5.499</formula>
    </cfRule>
    <cfRule type="cellIs" dxfId="3841" priority="312" operator="between">
      <formula>6.51</formula>
      <formula>8</formula>
    </cfRule>
    <cfRule type="expression" dxfId="3840" priority="313">
      <formula>I95&lt;5</formula>
    </cfRule>
    <cfRule type="expression" dxfId="3839" priority="314">
      <formula>I95&gt;8</formula>
    </cfRule>
  </conditionalFormatting>
  <conditionalFormatting sqref="I96 AL96">
    <cfRule type="cellIs" dxfId="3838" priority="307" operator="between">
      <formula>1.8</formula>
      <formula>1.999</formula>
    </cfRule>
    <cfRule type="cellIs" dxfId="3837" priority="308" operator="between">
      <formula>2.21</formula>
      <formula>2.4</formula>
    </cfRule>
    <cfRule type="expression" dxfId="3836" priority="309">
      <formula>I96&lt;1.8</formula>
    </cfRule>
    <cfRule type="expression" dxfId="3835" priority="310">
      <formula>I96&gt;2.4</formula>
    </cfRule>
  </conditionalFormatting>
  <conditionalFormatting sqref="P95">
    <cfRule type="cellIs" dxfId="3834" priority="303" operator="between">
      <formula>5</formula>
      <formula>5.499</formula>
    </cfRule>
    <cfRule type="cellIs" dxfId="3833" priority="304" operator="between">
      <formula>6.51</formula>
      <formula>8</formula>
    </cfRule>
    <cfRule type="expression" dxfId="3832" priority="305">
      <formula>P95&lt;5</formula>
    </cfRule>
    <cfRule type="expression" dxfId="3831" priority="306">
      <formula>P95&gt;8</formula>
    </cfRule>
  </conditionalFormatting>
  <conditionalFormatting sqref="P96">
    <cfRule type="cellIs" dxfId="3830" priority="299" operator="between">
      <formula>1.8</formula>
      <formula>1.999</formula>
    </cfRule>
    <cfRule type="cellIs" dxfId="3829" priority="300" operator="between">
      <formula>2.21</formula>
      <formula>2.4</formula>
    </cfRule>
    <cfRule type="expression" dxfId="3828" priority="301">
      <formula>P96&lt;1.8</formula>
    </cfRule>
    <cfRule type="expression" dxfId="3827" priority="302">
      <formula>P96&gt;2.4</formula>
    </cfRule>
  </conditionalFormatting>
  <conditionalFormatting sqref="W95">
    <cfRule type="cellIs" dxfId="3826" priority="295" operator="between">
      <formula>5</formula>
      <formula>5.499</formula>
    </cfRule>
    <cfRule type="cellIs" dxfId="3825" priority="296" operator="between">
      <formula>6.51</formula>
      <formula>8</formula>
    </cfRule>
    <cfRule type="expression" dxfId="3824" priority="297">
      <formula>W95&lt;5</formula>
    </cfRule>
    <cfRule type="expression" dxfId="3823" priority="298">
      <formula>W95&gt;8</formula>
    </cfRule>
  </conditionalFormatting>
  <conditionalFormatting sqref="W96">
    <cfRule type="cellIs" dxfId="3822" priority="291" operator="between">
      <formula>1.8</formula>
      <formula>1.999</formula>
    </cfRule>
    <cfRule type="cellIs" dxfId="3821" priority="292" operator="between">
      <formula>2.21</formula>
      <formula>2.4</formula>
    </cfRule>
    <cfRule type="expression" dxfId="3820" priority="293">
      <formula>W96&lt;1.8</formula>
    </cfRule>
    <cfRule type="expression" dxfId="3819" priority="294">
      <formula>W96&gt;2.4</formula>
    </cfRule>
  </conditionalFormatting>
  <conditionalFormatting sqref="AD95">
    <cfRule type="cellIs" dxfId="3818" priority="287" operator="between">
      <formula>5</formula>
      <formula>5.499</formula>
    </cfRule>
    <cfRule type="cellIs" dxfId="3817" priority="288" operator="between">
      <formula>6.51</formula>
      <formula>8</formula>
    </cfRule>
    <cfRule type="expression" dxfId="3816" priority="289">
      <formula>AD95&lt;5</formula>
    </cfRule>
    <cfRule type="expression" dxfId="3815" priority="290">
      <formula>AD95&gt;8</formula>
    </cfRule>
  </conditionalFormatting>
  <conditionalFormatting sqref="AD96">
    <cfRule type="cellIs" dxfId="3814" priority="283" operator="between">
      <formula>1.8</formula>
      <formula>1.999</formula>
    </cfRule>
    <cfRule type="cellIs" dxfId="3813" priority="284" operator="between">
      <formula>2.21</formula>
      <formula>2.4</formula>
    </cfRule>
    <cfRule type="expression" dxfId="3812" priority="285">
      <formula>AD96&lt;1.8</formula>
    </cfRule>
    <cfRule type="expression" dxfId="3811" priority="286">
      <formula>AD96&gt;2.4</formula>
    </cfRule>
  </conditionalFormatting>
  <conditionalFormatting sqref="AK95">
    <cfRule type="cellIs" dxfId="3810" priority="279" operator="between">
      <formula>5</formula>
      <formula>5.499</formula>
    </cfRule>
    <cfRule type="cellIs" dxfId="3809" priority="280" operator="between">
      <formula>6.51</formula>
      <formula>8</formula>
    </cfRule>
    <cfRule type="expression" dxfId="3808" priority="281">
      <formula>AK95&lt;5</formula>
    </cfRule>
    <cfRule type="expression" dxfId="3807" priority="282">
      <formula>AK95&gt;8</formula>
    </cfRule>
  </conditionalFormatting>
  <conditionalFormatting sqref="AK96">
    <cfRule type="cellIs" dxfId="3806" priority="275" operator="between">
      <formula>1.8</formula>
      <formula>1.999</formula>
    </cfRule>
    <cfRule type="cellIs" dxfId="3805" priority="276" operator="between">
      <formula>2.21</formula>
      <formula>2.4</formula>
    </cfRule>
    <cfRule type="expression" dxfId="3804" priority="277">
      <formula>AK96&lt;1.8</formula>
    </cfRule>
    <cfRule type="expression" dxfId="3803" priority="278">
      <formula>AK96&gt;2.4</formula>
    </cfRule>
  </conditionalFormatting>
  <conditionalFormatting sqref="P95">
    <cfRule type="cellIs" dxfId="3802" priority="271" operator="between">
      <formula>5</formula>
      <formula>5.499</formula>
    </cfRule>
    <cfRule type="cellIs" dxfId="3801" priority="272" operator="between">
      <formula>6.51</formula>
      <formula>8</formula>
    </cfRule>
    <cfRule type="expression" dxfId="3800" priority="273">
      <formula>P95&lt;5</formula>
    </cfRule>
    <cfRule type="expression" dxfId="3799" priority="274">
      <formula>P95&gt;8</formula>
    </cfRule>
  </conditionalFormatting>
  <conditionalFormatting sqref="P95 W95">
    <cfRule type="cellIs" dxfId="3798" priority="267" operator="between">
      <formula>5</formula>
      <formula>5.499</formula>
    </cfRule>
    <cfRule type="cellIs" dxfId="3797" priority="268" operator="between">
      <formula>6.51</formula>
      <formula>8</formula>
    </cfRule>
    <cfRule type="expression" dxfId="3796" priority="269">
      <formula>P95&lt;5</formula>
    </cfRule>
    <cfRule type="expression" dxfId="3795" priority="270">
      <formula>P95&gt;8</formula>
    </cfRule>
  </conditionalFormatting>
  <conditionalFormatting sqref="AD95">
    <cfRule type="cellIs" dxfId="3794" priority="263" operator="between">
      <formula>5</formula>
      <formula>5.499</formula>
    </cfRule>
    <cfRule type="cellIs" dxfId="3793" priority="264" operator="between">
      <formula>6.51</formula>
      <formula>8</formula>
    </cfRule>
    <cfRule type="expression" dxfId="3792" priority="265">
      <formula>AD95&lt;5</formula>
    </cfRule>
    <cfRule type="expression" dxfId="3791" priority="266">
      <formula>AD95&gt;8</formula>
    </cfRule>
  </conditionalFormatting>
  <conditionalFormatting sqref="AK95">
    <cfRule type="cellIs" dxfId="3790" priority="259" operator="between">
      <formula>5</formula>
      <formula>5.499</formula>
    </cfRule>
    <cfRule type="cellIs" dxfId="3789" priority="260" operator="between">
      <formula>6.51</formula>
      <formula>8</formula>
    </cfRule>
    <cfRule type="expression" dxfId="3788" priority="261">
      <formula>AK95&lt;5</formula>
    </cfRule>
    <cfRule type="expression" dxfId="3787" priority="262">
      <formula>AK95&gt;8</formula>
    </cfRule>
  </conditionalFormatting>
  <conditionalFormatting sqref="AR95">
    <cfRule type="cellIs" dxfId="3786" priority="255" operator="between">
      <formula>5</formula>
      <formula>5.499</formula>
    </cfRule>
    <cfRule type="cellIs" dxfId="3785" priority="256" operator="between">
      <formula>6.51</formula>
      <formula>8</formula>
    </cfRule>
    <cfRule type="expression" dxfId="3784" priority="257">
      <formula>AR95&lt;5</formula>
    </cfRule>
    <cfRule type="expression" dxfId="3783" priority="258">
      <formula>AR95&gt;8</formula>
    </cfRule>
  </conditionalFormatting>
  <conditionalFormatting sqref="AR96">
    <cfRule type="cellIs" dxfId="3782" priority="251" operator="between">
      <formula>1.8</formula>
      <formula>1.999</formula>
    </cfRule>
    <cfRule type="cellIs" dxfId="3781" priority="252" operator="between">
      <formula>2.21</formula>
      <formula>2.4</formula>
    </cfRule>
    <cfRule type="expression" dxfId="3780" priority="253">
      <formula>AR96&lt;1.8</formula>
    </cfRule>
    <cfRule type="expression" dxfId="3779" priority="254">
      <formula>AR96&gt;2.4</formula>
    </cfRule>
  </conditionalFormatting>
  <conditionalFormatting sqref="I90 P90 W90 AD90 AK90 AR90">
    <cfRule type="expression" dxfId="3778" priority="201">
      <formula>I90&lt;40%</formula>
    </cfRule>
    <cfRule type="expression" dxfId="3777" priority="202">
      <formula>I90&gt;50%</formula>
    </cfRule>
  </conditionalFormatting>
  <conditionalFormatting sqref="I92:I93 P92:P93 W92:W93 AD92:AD93 AK92:AK93 AR92:AR93">
    <cfRule type="expression" dxfId="3776" priority="199">
      <formula>I92&lt;40%</formula>
    </cfRule>
    <cfRule type="expression" dxfId="3775" priority="200">
      <formula>I92&gt;50%</formula>
    </cfRule>
  </conditionalFormatting>
  <conditionalFormatting sqref="I19">
    <cfRule type="cellIs" dxfId="3774" priority="140" operator="between">
      <formula>1.5</formula>
      <formula>1.599</formula>
    </cfRule>
    <cfRule type="cellIs" dxfId="3773" priority="141" operator="between">
      <formula>1.811</formula>
      <formula>1.9</formula>
    </cfRule>
    <cfRule type="expression" dxfId="3772" priority="142">
      <formula>I19&lt;1.5</formula>
    </cfRule>
    <cfRule type="expression" dxfId="3771" priority="143">
      <formula>I19&gt;1.9</formula>
    </cfRule>
  </conditionalFormatting>
  <conditionalFormatting sqref="P19">
    <cfRule type="cellIs" dxfId="3770" priority="136" operator="between">
      <formula>1.5</formula>
      <formula>1.599</formula>
    </cfRule>
    <cfRule type="cellIs" dxfId="3769" priority="137" operator="between">
      <formula>1.811</formula>
      <formula>1.9</formula>
    </cfRule>
    <cfRule type="expression" dxfId="3768" priority="138">
      <formula>P19&lt;1.5</formula>
    </cfRule>
    <cfRule type="expression" dxfId="3767" priority="139">
      <formula>P19&gt;1.9</formula>
    </cfRule>
  </conditionalFormatting>
  <conditionalFormatting sqref="W19">
    <cfRule type="cellIs" dxfId="3766" priority="132" operator="between">
      <formula>1.5</formula>
      <formula>1.599</formula>
    </cfRule>
    <cfRule type="cellIs" dxfId="3765" priority="133" operator="between">
      <formula>1.811</formula>
      <formula>1.9</formula>
    </cfRule>
    <cfRule type="expression" dxfId="3764" priority="134">
      <formula>W19&lt;1.5</formula>
    </cfRule>
    <cfRule type="expression" dxfId="3763" priority="135">
      <formula>W19&gt;1.9</formula>
    </cfRule>
  </conditionalFormatting>
  <conditionalFormatting sqref="AD19">
    <cfRule type="cellIs" dxfId="3762" priority="128" operator="between">
      <formula>1.5</formula>
      <formula>1.599</formula>
    </cfRule>
    <cfRule type="cellIs" dxfId="3761" priority="129" operator="between">
      <formula>1.811</formula>
      <formula>1.9</formula>
    </cfRule>
    <cfRule type="expression" dxfId="3760" priority="130">
      <formula>AD19&lt;1.5</formula>
    </cfRule>
    <cfRule type="expression" dxfId="3759" priority="131">
      <formula>AD19&gt;1.9</formula>
    </cfRule>
  </conditionalFormatting>
  <conditionalFormatting sqref="AK19">
    <cfRule type="cellIs" dxfId="3758" priority="124" operator="between">
      <formula>1.5</formula>
      <formula>1.599</formula>
    </cfRule>
    <cfRule type="cellIs" dxfId="3757" priority="125" operator="between">
      <formula>1.811</formula>
      <formula>1.9</formula>
    </cfRule>
    <cfRule type="expression" dxfId="3756" priority="126">
      <formula>AK19&lt;1.5</formula>
    </cfRule>
    <cfRule type="expression" dxfId="3755" priority="127">
      <formula>AK19&gt;1.9</formula>
    </cfRule>
  </conditionalFormatting>
  <conditionalFormatting sqref="AR19">
    <cfRule type="cellIs" dxfId="3754" priority="120" operator="between">
      <formula>1.5</formula>
      <formula>1.599</formula>
    </cfRule>
    <cfRule type="cellIs" dxfId="3753" priority="121" operator="between">
      <formula>1.811</formula>
      <formula>1.9</formula>
    </cfRule>
    <cfRule type="expression" dxfId="3752" priority="122">
      <formula>AR19&lt;1.5</formula>
    </cfRule>
    <cfRule type="expression" dxfId="3751" priority="123">
      <formula>AR19&gt;1.9</formula>
    </cfRule>
  </conditionalFormatting>
  <conditionalFormatting sqref="I25">
    <cfRule type="cellIs" dxfId="3750" priority="116" operator="between">
      <formula>2</formula>
      <formula>2.099</formula>
    </cfRule>
    <cfRule type="cellIs" dxfId="3749" priority="117" operator="between">
      <formula>2.31</formula>
      <formula>2.4</formula>
    </cfRule>
    <cfRule type="expression" dxfId="3748" priority="118">
      <formula>I25&lt;2</formula>
    </cfRule>
    <cfRule type="expression" dxfId="3747" priority="119">
      <formula>I25&gt;2.4</formula>
    </cfRule>
  </conditionalFormatting>
  <conditionalFormatting sqref="P25">
    <cfRule type="cellIs" dxfId="3746" priority="112" operator="between">
      <formula>2</formula>
      <formula>2.099</formula>
    </cfRule>
    <cfRule type="cellIs" dxfId="3745" priority="113" operator="between">
      <formula>2.31</formula>
      <formula>2.4</formula>
    </cfRule>
    <cfRule type="expression" dxfId="3744" priority="114">
      <formula>P25&lt;2</formula>
    </cfRule>
    <cfRule type="expression" dxfId="3743" priority="115">
      <formula>P25&gt;2.4</formula>
    </cfRule>
  </conditionalFormatting>
  <conditionalFormatting sqref="W25">
    <cfRule type="cellIs" dxfId="3742" priority="108" operator="between">
      <formula>2</formula>
      <formula>2.099</formula>
    </cfRule>
    <cfRule type="cellIs" dxfId="3741" priority="109" operator="between">
      <formula>2.31</formula>
      <formula>2.4</formula>
    </cfRule>
    <cfRule type="expression" dxfId="3740" priority="110">
      <formula>W25&lt;2</formula>
    </cfRule>
    <cfRule type="expression" dxfId="3739" priority="111">
      <formula>W25&gt;2.4</formula>
    </cfRule>
  </conditionalFormatting>
  <conditionalFormatting sqref="AD25">
    <cfRule type="cellIs" dxfId="3738" priority="104" operator="between">
      <formula>2</formula>
      <formula>2.099</formula>
    </cfRule>
    <cfRule type="cellIs" dxfId="3737" priority="105" operator="between">
      <formula>2.31</formula>
      <formula>2.4</formula>
    </cfRule>
    <cfRule type="expression" dxfId="3736" priority="106">
      <formula>AD25&lt;2</formula>
    </cfRule>
    <cfRule type="expression" dxfId="3735" priority="107">
      <formula>AD25&gt;2.4</formula>
    </cfRule>
  </conditionalFormatting>
  <conditionalFormatting sqref="AK25">
    <cfRule type="cellIs" dxfId="3734" priority="100" operator="between">
      <formula>2</formula>
      <formula>2.099</formula>
    </cfRule>
    <cfRule type="cellIs" dxfId="3733" priority="101" operator="between">
      <formula>2.31</formula>
      <formula>2.4</formula>
    </cfRule>
    <cfRule type="expression" dxfId="3732" priority="102">
      <formula>AK25&lt;2</formula>
    </cfRule>
    <cfRule type="expression" dxfId="3731" priority="103">
      <formula>AK25&gt;2.4</formula>
    </cfRule>
  </conditionalFormatting>
  <conditionalFormatting sqref="AR25">
    <cfRule type="cellIs" dxfId="3730" priority="96" operator="between">
      <formula>2</formula>
      <formula>2.099</formula>
    </cfRule>
    <cfRule type="cellIs" dxfId="3729" priority="97" operator="between">
      <formula>2.31</formula>
      <formula>2.4</formula>
    </cfRule>
    <cfRule type="expression" dxfId="3728" priority="98">
      <formula>AR25&lt;2</formula>
    </cfRule>
    <cfRule type="expression" dxfId="3727" priority="99">
      <formula>AR25&gt;2.4</formula>
    </cfRule>
  </conditionalFormatting>
  <conditionalFormatting sqref="I91">
    <cfRule type="expression" dxfId="3726" priority="94">
      <formula>I91&lt;10%</formula>
    </cfRule>
    <cfRule type="expression" dxfId="3725" priority="95">
      <formula>I91&gt;20%</formula>
    </cfRule>
  </conditionalFormatting>
  <conditionalFormatting sqref="P91">
    <cfRule type="expression" dxfId="3724" priority="92">
      <formula>P91&lt;10%</formula>
    </cfRule>
    <cfRule type="expression" dxfId="3723" priority="93">
      <formula>P91&gt;20%</formula>
    </cfRule>
  </conditionalFormatting>
  <conditionalFormatting sqref="W91">
    <cfRule type="expression" dxfId="3722" priority="90">
      <formula>W91&lt;10%</formula>
    </cfRule>
    <cfRule type="expression" dxfId="3721" priority="91">
      <formula>W91&gt;20%</formula>
    </cfRule>
  </conditionalFormatting>
  <conditionalFormatting sqref="AD91">
    <cfRule type="expression" dxfId="3720" priority="88">
      <formula>AD91&lt;10%</formula>
    </cfRule>
    <cfRule type="expression" dxfId="3719" priority="89">
      <formula>AD91&gt;20%</formula>
    </cfRule>
  </conditionalFormatting>
  <conditionalFormatting sqref="AK91">
    <cfRule type="expression" dxfId="3718" priority="86">
      <formula>AK91&lt;10%</formula>
    </cfRule>
    <cfRule type="expression" dxfId="3717" priority="87">
      <formula>AK91&gt;20%</formula>
    </cfRule>
  </conditionalFormatting>
  <conditionalFormatting sqref="AR91">
    <cfRule type="expression" dxfId="3716" priority="84">
      <formula>AR91&lt;10%</formula>
    </cfRule>
    <cfRule type="expression" dxfId="3715" priority="85">
      <formula>AR91&gt;20%</formula>
    </cfRule>
  </conditionalFormatting>
  <conditionalFormatting sqref="I97">
    <cfRule type="cellIs" dxfId="3714" priority="3631" operator="between">
      <formula>16.1</formula>
      <formula>18</formula>
    </cfRule>
    <cfRule type="expression" dxfId="3713" priority="3632">
      <formula>I97&lt;12</formula>
    </cfRule>
    <cfRule type="expression" dxfId="3712" priority="3633">
      <formula>I97&gt;18</formula>
    </cfRule>
  </conditionalFormatting>
  <conditionalFormatting sqref="I98">
    <cfRule type="cellIs" dxfId="3711" priority="80" operator="between">
      <formula>1.5</formula>
      <formula>1.599</formula>
    </cfRule>
    <cfRule type="cellIs" dxfId="3710" priority="81" operator="between">
      <formula>1.81</formula>
      <formula>1.9</formula>
    </cfRule>
    <cfRule type="expression" dxfId="3709" priority="82">
      <formula>I98&lt;1.5</formula>
    </cfRule>
    <cfRule type="expression" dxfId="3708" priority="83">
      <formula>I98&gt;1.9</formula>
    </cfRule>
  </conditionalFormatting>
  <conditionalFormatting sqref="AR97">
    <cfRule type="cellIs" dxfId="3707" priority="77" operator="between">
      <formula>16.1</formula>
      <formula>18</formula>
    </cfRule>
    <cfRule type="expression" dxfId="3706" priority="78">
      <formula>AR97&lt;12</formula>
    </cfRule>
    <cfRule type="expression" dxfId="3705" priority="79">
      <formula>AR97&gt;18</formula>
    </cfRule>
  </conditionalFormatting>
  <conditionalFormatting sqref="AR98">
    <cfRule type="cellIs" dxfId="3704" priority="73" operator="between">
      <formula>1.5</formula>
      <formula>1.599</formula>
    </cfRule>
    <cfRule type="cellIs" dxfId="3703" priority="74" operator="between">
      <formula>1.81</formula>
      <formula>1.9</formula>
    </cfRule>
    <cfRule type="expression" dxfId="3702" priority="75">
      <formula>AR98&lt;1.5</formula>
    </cfRule>
    <cfRule type="expression" dxfId="3701" priority="76">
      <formula>AR98&gt;1.9</formula>
    </cfRule>
  </conditionalFormatting>
  <conditionalFormatting sqref="AK97">
    <cfRule type="cellIs" dxfId="3700" priority="70" operator="between">
      <formula>16.1</formula>
      <formula>18</formula>
    </cfRule>
    <cfRule type="expression" dxfId="3699" priority="71">
      <formula>AK97&lt;12</formula>
    </cfRule>
    <cfRule type="expression" dxfId="3698" priority="72">
      <formula>AK97&gt;18</formula>
    </cfRule>
  </conditionalFormatting>
  <conditionalFormatting sqref="AK98">
    <cfRule type="cellIs" dxfId="3697" priority="66" operator="between">
      <formula>1.5</formula>
      <formula>1.599</formula>
    </cfRule>
    <cfRule type="cellIs" dxfId="3696" priority="67" operator="between">
      <formula>1.81</formula>
      <formula>1.9</formula>
    </cfRule>
    <cfRule type="expression" dxfId="3695" priority="68">
      <formula>AK98&lt;1.5</formula>
    </cfRule>
    <cfRule type="expression" dxfId="3694" priority="69">
      <formula>AK98&gt;1.9</formula>
    </cfRule>
  </conditionalFormatting>
  <conditionalFormatting sqref="AD97">
    <cfRule type="cellIs" dxfId="3693" priority="63" operator="between">
      <formula>16.1</formula>
      <formula>18</formula>
    </cfRule>
    <cfRule type="expression" dxfId="3692" priority="64">
      <formula>AD97&lt;12</formula>
    </cfRule>
    <cfRule type="expression" dxfId="3691" priority="65">
      <formula>AD97&gt;18</formula>
    </cfRule>
  </conditionalFormatting>
  <conditionalFormatting sqref="AD98">
    <cfRule type="cellIs" dxfId="3690" priority="59" operator="between">
      <formula>1.5</formula>
      <formula>1.599</formula>
    </cfRule>
    <cfRule type="cellIs" dxfId="3689" priority="60" operator="between">
      <formula>1.81</formula>
      <formula>1.9</formula>
    </cfRule>
    <cfRule type="expression" dxfId="3688" priority="61">
      <formula>AD98&lt;1.5</formula>
    </cfRule>
    <cfRule type="expression" dxfId="3687" priority="62">
      <formula>AD98&gt;1.9</formula>
    </cfRule>
  </conditionalFormatting>
  <conditionalFormatting sqref="W97">
    <cfRule type="cellIs" dxfId="3686" priority="56" operator="between">
      <formula>16.1</formula>
      <formula>18</formula>
    </cfRule>
    <cfRule type="expression" dxfId="3685" priority="57">
      <formula>W97&lt;12</formula>
    </cfRule>
    <cfRule type="expression" dxfId="3684" priority="58">
      <formula>W97&gt;18</formula>
    </cfRule>
  </conditionalFormatting>
  <conditionalFormatting sqref="W98">
    <cfRule type="cellIs" dxfId="3683" priority="52" operator="between">
      <formula>1.5</formula>
      <formula>1.599</formula>
    </cfRule>
    <cfRule type="cellIs" dxfId="3682" priority="53" operator="between">
      <formula>1.81</formula>
      <formula>1.9</formula>
    </cfRule>
    <cfRule type="expression" dxfId="3681" priority="54">
      <formula>W98&lt;1.5</formula>
    </cfRule>
    <cfRule type="expression" dxfId="3680" priority="55">
      <formula>W98&gt;1.9</formula>
    </cfRule>
  </conditionalFormatting>
  <conditionalFormatting sqref="P97">
    <cfRule type="cellIs" dxfId="3679" priority="49" operator="between">
      <formula>16.1</formula>
      <formula>18</formula>
    </cfRule>
    <cfRule type="expression" dxfId="3678" priority="50">
      <formula>P97&lt;12</formula>
    </cfRule>
    <cfRule type="expression" dxfId="3677" priority="51">
      <formula>P97&gt;18</formula>
    </cfRule>
  </conditionalFormatting>
  <conditionalFormatting sqref="P98">
    <cfRule type="cellIs" dxfId="3676" priority="45" operator="between">
      <formula>1.5</formula>
      <formula>1.599</formula>
    </cfRule>
    <cfRule type="cellIs" dxfId="3675" priority="46" operator="between">
      <formula>1.81</formula>
      <formula>1.9</formula>
    </cfRule>
    <cfRule type="expression" dxfId="3674" priority="47">
      <formula>P98&lt;1.5</formula>
    </cfRule>
    <cfRule type="expression" dxfId="3673" priority="48">
      <formula>P98&gt;1.9</formula>
    </cfRule>
  </conditionalFormatting>
  <conditionalFormatting sqref="I94 P94 W94 AD94 AK94 AR94">
    <cfRule type="cellIs" dxfId="3672" priority="41" operator="between">
      <formula>0.5%</formula>
      <formula>0.599%</formula>
    </cfRule>
    <cfRule type="cellIs" dxfId="3671" priority="42" operator="between">
      <formula>0.81%</formula>
      <formula>1%</formula>
    </cfRule>
    <cfRule type="expression" dxfId="3670" priority="43">
      <formula>I94&lt;0.5%</formula>
    </cfRule>
    <cfRule type="expression" dxfId="3669" priority="44">
      <formula>I94&gt;1%</formula>
    </cfRule>
  </conditionalFormatting>
  <conditionalFormatting sqref="I58">
    <cfRule type="cellIs" dxfId="3668" priority="37" operator="between">
      <formula>0.5%</formula>
      <formula>0.599%</formula>
    </cfRule>
    <cfRule type="cellIs" dxfId="3667" priority="38" operator="between">
      <formula>1.41%</formula>
      <formula>1.5%</formula>
    </cfRule>
    <cfRule type="expression" dxfId="3666" priority="39">
      <formula>I58&lt;0.5%</formula>
    </cfRule>
    <cfRule type="expression" dxfId="3665" priority="40">
      <formula>I58&gt;1.5%</formula>
    </cfRule>
  </conditionalFormatting>
  <conditionalFormatting sqref="P58">
    <cfRule type="cellIs" dxfId="3664" priority="33" operator="between">
      <formula>0.5%</formula>
      <formula>0.599%</formula>
    </cfRule>
    <cfRule type="cellIs" dxfId="3663" priority="34" operator="between">
      <formula>1.41%</formula>
      <formula>1.5%</formula>
    </cfRule>
    <cfRule type="expression" dxfId="3662" priority="35">
      <formula>P58&lt;0.5%</formula>
    </cfRule>
    <cfRule type="expression" dxfId="3661" priority="36">
      <formula>P58&gt;1.5%</formula>
    </cfRule>
  </conditionalFormatting>
  <conditionalFormatting sqref="W58">
    <cfRule type="cellIs" dxfId="3660" priority="29" operator="between">
      <formula>0.5%</formula>
      <formula>0.599%</formula>
    </cfRule>
    <cfRule type="cellIs" dxfId="3659" priority="30" operator="between">
      <formula>1.41%</formula>
      <formula>1.5%</formula>
    </cfRule>
    <cfRule type="expression" dxfId="3658" priority="31">
      <formula>W58&lt;0.5%</formula>
    </cfRule>
    <cfRule type="expression" dxfId="3657" priority="32">
      <formula>W58&gt;1.5%</formula>
    </cfRule>
  </conditionalFormatting>
  <conditionalFormatting sqref="AD58">
    <cfRule type="cellIs" dxfId="3656" priority="25" operator="between">
      <formula>0.5%</formula>
      <formula>0.599%</formula>
    </cfRule>
    <cfRule type="cellIs" dxfId="3655" priority="26" operator="between">
      <formula>1.41%</formula>
      <formula>1.5%</formula>
    </cfRule>
    <cfRule type="expression" dxfId="3654" priority="27">
      <formula>AD58&lt;0.5%</formula>
    </cfRule>
    <cfRule type="expression" dxfId="3653" priority="28">
      <formula>AD58&gt;1.5%</formula>
    </cfRule>
  </conditionalFormatting>
  <conditionalFormatting sqref="AK58">
    <cfRule type="cellIs" dxfId="3652" priority="21" operator="between">
      <formula>0.5%</formula>
      <formula>0.599%</formula>
    </cfRule>
    <cfRule type="cellIs" dxfId="3651" priority="22" operator="between">
      <formula>1.41%</formula>
      <formula>1.5%</formula>
    </cfRule>
    <cfRule type="expression" dxfId="3650" priority="23">
      <formula>AK58&lt;0.5%</formula>
    </cfRule>
    <cfRule type="expression" dxfId="3649" priority="24">
      <formula>AK58&gt;1.5%</formula>
    </cfRule>
  </conditionalFormatting>
  <conditionalFormatting sqref="AR58">
    <cfRule type="cellIs" dxfId="3648" priority="17" operator="between">
      <formula>0.5%</formula>
      <formula>0.599%</formula>
    </cfRule>
    <cfRule type="cellIs" dxfId="3647" priority="18" operator="between">
      <formula>1.41%</formula>
      <formula>1.5%</formula>
    </cfRule>
    <cfRule type="expression" dxfId="3646" priority="19">
      <formula>AR58&lt;0.5%</formula>
    </cfRule>
    <cfRule type="expression" dxfId="3645" priority="20">
      <formula>AR58&gt;1.5%</formula>
    </cfRule>
  </conditionalFormatting>
  <conditionalFormatting sqref="AK25">
    <cfRule type="cellIs" dxfId="3644" priority="13" operator="between">
      <formula>5</formula>
      <formula>6.49</formula>
    </cfRule>
    <cfRule type="cellIs" dxfId="3643" priority="14" operator="between">
      <formula>8.51</formula>
      <formula>10</formula>
    </cfRule>
    <cfRule type="expression" dxfId="3642" priority="15">
      <formula>AK25&lt;5</formula>
    </cfRule>
    <cfRule type="expression" dxfId="3641" priority="16">
      <formula>AK25&gt;10</formula>
    </cfRule>
  </conditionalFormatting>
  <conditionalFormatting sqref="AK60">
    <cfRule type="cellIs" dxfId="3640" priority="9" operator="between">
      <formula>5</formula>
      <formula>5.499</formula>
    </cfRule>
    <cfRule type="cellIs" dxfId="3639" priority="10" operator="between">
      <formula>6.51</formula>
      <formula>8</formula>
    </cfRule>
    <cfRule type="expression" dxfId="3638" priority="11">
      <formula>AK60&lt;5</formula>
    </cfRule>
    <cfRule type="expression" dxfId="3637" priority="12">
      <formula>AK60&gt;8</formula>
    </cfRule>
  </conditionalFormatting>
  <conditionalFormatting sqref="AR25">
    <cfRule type="cellIs" dxfId="3636" priority="5" operator="between">
      <formula>5</formula>
      <formula>6.49</formula>
    </cfRule>
    <cfRule type="cellIs" dxfId="3635" priority="6" operator="between">
      <formula>8.51</formula>
      <formula>10</formula>
    </cfRule>
    <cfRule type="expression" dxfId="3634" priority="7">
      <formula>AR25&lt;5</formula>
    </cfRule>
    <cfRule type="expression" dxfId="3633" priority="8">
      <formula>AR25&gt;10</formula>
    </cfRule>
  </conditionalFormatting>
  <conditionalFormatting sqref="AR60">
    <cfRule type="cellIs" dxfId="3632" priority="1" operator="between">
      <formula>5</formula>
      <formula>5.499</formula>
    </cfRule>
    <cfRule type="cellIs" dxfId="3631" priority="2" operator="between">
      <formula>6.51</formula>
      <formula>8</formula>
    </cfRule>
    <cfRule type="expression" dxfId="3630" priority="3">
      <formula>AR60&lt;5</formula>
    </cfRule>
    <cfRule type="expression" dxfId="3629" priority="4">
      <formula>AR60&gt;8</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topLeftCell="A51" zoomScale="55" zoomScaleNormal="55" zoomScaleSheetLayoutView="55" workbookViewId="0">
      <selection activeCell="Y80" sqref="Y80"/>
    </sheetView>
  </sheetViews>
  <sheetFormatPr defaultRowHeight="15"/>
  <cols>
    <col min="1" max="1" width="3.5" style="956" customWidth="1"/>
    <col min="2" max="2" width="7.375" style="956" customWidth="1"/>
    <col min="3" max="3" width="4.375" style="956" customWidth="1"/>
    <col min="4" max="4" width="7" style="956" customWidth="1"/>
    <col min="5" max="5" width="6" style="956" customWidth="1"/>
    <col min="6" max="6" width="7.875" style="956" customWidth="1"/>
    <col min="7" max="7" width="13" style="959" customWidth="1"/>
    <col min="8" max="8" width="10.25" style="959" customWidth="1"/>
    <col min="9" max="9" width="8.375" style="956" customWidth="1"/>
    <col min="10" max="10" width="3.625" style="15" customWidth="1"/>
    <col min="11" max="11" width="7.625" style="15" customWidth="1"/>
    <col min="12" max="12" width="3.875" style="15" customWidth="1"/>
    <col min="13" max="13" width="8.5" style="931" customWidth="1"/>
    <col min="14" max="14" width="3" style="931" customWidth="1"/>
    <col min="15" max="15" width="8.375" style="931" customWidth="1"/>
    <col min="16" max="16" width="4.75" style="931" customWidth="1"/>
    <col min="17" max="17" width="7.625" style="956" customWidth="1"/>
    <col min="18" max="18" width="3.375" style="956" customWidth="1"/>
    <col min="19" max="19" width="7.875" style="956" customWidth="1"/>
    <col min="20" max="20" width="4.375" style="956" customWidth="1"/>
    <col min="21" max="21" width="7.625" style="931" customWidth="1"/>
    <col min="22" max="22" width="3.875" style="931" customWidth="1"/>
    <col min="23" max="23" width="7" style="931" customWidth="1"/>
    <col min="24" max="24" width="4.375" style="931" customWidth="1"/>
    <col min="25" max="25" width="7.5" style="956" customWidth="1"/>
    <col min="26" max="26" width="3.125" style="956" customWidth="1"/>
    <col min="27" max="27" width="7.625" style="956" customWidth="1"/>
    <col min="28" max="28" width="4.5" style="956" customWidth="1"/>
    <col min="29" max="29" width="7" style="931" customWidth="1"/>
    <col min="30" max="30" width="3.75" style="931" customWidth="1"/>
    <col min="31" max="31" width="6.5" style="931" customWidth="1"/>
    <col min="32" max="32" width="4.75" style="931" customWidth="1"/>
    <col min="33" max="33" width="9.5" style="15" customWidth="1"/>
    <col min="34" max="16384" width="9" style="15"/>
  </cols>
  <sheetData>
    <row r="1" spans="1:33" ht="33.75" customHeight="1">
      <c r="B1" s="2404" t="s">
        <v>129</v>
      </c>
      <c r="C1" s="2404"/>
      <c r="D1" s="2404"/>
      <c r="E1" s="2404"/>
      <c r="F1" s="2404"/>
      <c r="G1" s="2404"/>
      <c r="H1" s="2404"/>
      <c r="I1" s="2404"/>
      <c r="J1" s="2404"/>
      <c r="K1" s="2404"/>
      <c r="L1" s="2404"/>
      <c r="M1" s="2404"/>
      <c r="N1" s="2404"/>
      <c r="O1" s="2404"/>
      <c r="P1" s="2404"/>
      <c r="Q1" s="2404"/>
      <c r="R1" s="2404"/>
      <c r="S1" s="2404"/>
      <c r="T1" s="2404"/>
      <c r="U1" s="2404"/>
      <c r="V1" s="2404"/>
      <c r="W1" s="2404"/>
      <c r="X1" s="2404"/>
      <c r="Y1" s="2404"/>
      <c r="Z1" s="2404"/>
      <c r="AA1" s="2405"/>
      <c r="AB1" s="2405"/>
      <c r="AC1" s="2406"/>
      <c r="AD1" s="932"/>
      <c r="AE1" s="932"/>
      <c r="AF1" s="932"/>
      <c r="AG1" s="902"/>
    </row>
    <row r="2" spans="1:33" ht="54.75" customHeight="1">
      <c r="B2" s="2407" t="s">
        <v>218</v>
      </c>
      <c r="C2" s="2407"/>
      <c r="D2" s="2407"/>
      <c r="E2" s="2407"/>
      <c r="F2" s="2407"/>
      <c r="G2" s="2407"/>
      <c r="H2" s="2407"/>
      <c r="I2" s="2407"/>
      <c r="J2" s="2407"/>
      <c r="K2" s="2407"/>
      <c r="L2" s="2407"/>
      <c r="M2" s="2407"/>
      <c r="N2" s="2407"/>
      <c r="O2" s="2407"/>
      <c r="P2" s="2407"/>
      <c r="Q2" s="2407"/>
      <c r="R2" s="2407"/>
      <c r="S2" s="2407"/>
      <c r="T2" s="2407"/>
      <c r="U2" s="2407"/>
      <c r="V2" s="2407"/>
      <c r="W2" s="2407"/>
      <c r="X2" s="2407"/>
      <c r="Y2" s="2407"/>
      <c r="Z2" s="2407"/>
      <c r="AA2" s="2407"/>
      <c r="AB2" s="2407"/>
      <c r="AC2" s="2408"/>
      <c r="AD2" s="3128" t="s">
        <v>87</v>
      </c>
      <c r="AE2" s="3128"/>
      <c r="AF2" s="3130" t="s">
        <v>88</v>
      </c>
      <c r="AG2" s="3131"/>
    </row>
    <row r="3" spans="1:33" ht="42.75" customHeight="1">
      <c r="B3" s="3166" t="s">
        <v>212</v>
      </c>
      <c r="C3" s="3166"/>
      <c r="D3" s="3166"/>
      <c r="E3" s="3166"/>
      <c r="F3" s="1385"/>
      <c r="G3" s="1388" t="s">
        <v>1594</v>
      </c>
      <c r="H3" s="1812" t="str">
        <f>MENU!$AC$9</f>
        <v>Thứ 5,</v>
      </c>
      <c r="I3" s="3196" t="str">
        <f>MENU!$AD$9</f>
        <v>2024/08/01</v>
      </c>
      <c r="J3" s="3197"/>
      <c r="K3" s="3197"/>
      <c r="L3" s="3197"/>
      <c r="M3" s="905"/>
      <c r="N3" s="905"/>
      <c r="O3" s="905"/>
      <c r="P3" s="905"/>
      <c r="Q3" s="947"/>
      <c r="R3" s="947"/>
      <c r="S3" s="947"/>
      <c r="T3" s="947"/>
      <c r="U3" s="905"/>
      <c r="V3" s="905"/>
      <c r="W3" s="905"/>
      <c r="X3" s="905"/>
      <c r="Y3" s="947"/>
      <c r="Z3" s="947"/>
      <c r="AD3" s="3129" t="str">
        <f>MENU!AE6</f>
        <v>L.Yen</v>
      </c>
      <c r="AE3" s="3129"/>
      <c r="AF3" s="3132" t="s">
        <v>11</v>
      </c>
      <c r="AG3" s="3133"/>
    </row>
    <row r="4" spans="1:33" s="16" customFormat="1" ht="44.25" customHeight="1">
      <c r="A4" s="3177" t="s">
        <v>7</v>
      </c>
      <c r="B4" s="3151" t="s">
        <v>75</v>
      </c>
      <c r="C4" s="3152"/>
      <c r="D4" s="3152"/>
      <c r="E4" s="3153"/>
      <c r="F4" s="3149" t="s">
        <v>123</v>
      </c>
      <c r="G4" s="3180" t="s">
        <v>1296</v>
      </c>
      <c r="H4" s="3185" t="s">
        <v>1289</v>
      </c>
      <c r="I4" s="3201">
        <v>0.30208333333333331</v>
      </c>
      <c r="J4" s="3199"/>
      <c r="K4" s="3199"/>
      <c r="L4" s="3200"/>
      <c r="M4" s="3123" t="s">
        <v>931</v>
      </c>
      <c r="N4" s="3124"/>
      <c r="O4" s="3124"/>
      <c r="P4" s="3125"/>
      <c r="Q4" s="3167">
        <v>0.46875</v>
      </c>
      <c r="R4" s="3168"/>
      <c r="S4" s="3168"/>
      <c r="T4" s="3169"/>
      <c r="U4" s="3123" t="s">
        <v>931</v>
      </c>
      <c r="V4" s="3124"/>
      <c r="W4" s="3124"/>
      <c r="X4" s="3125"/>
      <c r="Y4" s="3167">
        <v>0.63541666666666663</v>
      </c>
      <c r="Z4" s="3168"/>
      <c r="AA4" s="3168"/>
      <c r="AB4" s="3169"/>
      <c r="AC4" s="3123" t="s">
        <v>929</v>
      </c>
      <c r="AD4" s="3124"/>
      <c r="AE4" s="3124"/>
      <c r="AF4" s="3125"/>
      <c r="AG4" s="901" t="s">
        <v>89</v>
      </c>
    </row>
    <row r="5" spans="1:33" s="16" customFormat="1" ht="44.25" customHeight="1">
      <c r="A5" s="3179"/>
      <c r="B5" s="3154"/>
      <c r="C5" s="3155"/>
      <c r="D5" s="3155"/>
      <c r="E5" s="3156"/>
      <c r="F5" s="3150"/>
      <c r="G5" s="3181"/>
      <c r="H5" s="3186"/>
      <c r="I5" s="2189" t="s">
        <v>128</v>
      </c>
      <c r="J5" s="3170" t="s">
        <v>1</v>
      </c>
      <c r="K5" s="3171"/>
      <c r="L5" s="3172"/>
      <c r="M5" s="906" t="s">
        <v>932</v>
      </c>
      <c r="N5" s="3126" t="s">
        <v>1</v>
      </c>
      <c r="O5" s="3126"/>
      <c r="P5" s="3127"/>
      <c r="Q5" s="948" t="s">
        <v>128</v>
      </c>
      <c r="R5" s="3173" t="s">
        <v>1</v>
      </c>
      <c r="S5" s="3174"/>
      <c r="T5" s="3175"/>
      <c r="U5" s="906" t="s">
        <v>932</v>
      </c>
      <c r="V5" s="3126" t="s">
        <v>1</v>
      </c>
      <c r="W5" s="3126"/>
      <c r="X5" s="3127"/>
      <c r="Y5" s="948" t="s">
        <v>128</v>
      </c>
      <c r="Z5" s="3173" t="s">
        <v>1</v>
      </c>
      <c r="AA5" s="3174"/>
      <c r="AB5" s="3175"/>
      <c r="AC5" s="906" t="s">
        <v>933</v>
      </c>
      <c r="AD5" s="3126" t="s">
        <v>1</v>
      </c>
      <c r="AE5" s="3126"/>
      <c r="AF5" s="3127"/>
      <c r="AG5" s="4" t="s">
        <v>90</v>
      </c>
    </row>
    <row r="6" spans="1:33" ht="48" customHeight="1">
      <c r="A6" s="3177">
        <v>1</v>
      </c>
      <c r="B6" s="3151" t="s">
        <v>130</v>
      </c>
      <c r="C6" s="3157"/>
      <c r="D6" s="3164" t="s">
        <v>99</v>
      </c>
      <c r="E6" s="3165"/>
      <c r="F6" s="46" t="s">
        <v>4</v>
      </c>
      <c r="G6" s="897" t="str">
        <f>'XM.FILE GOC'!$E$6</f>
        <v>20~40</v>
      </c>
      <c r="H6" s="2202" t="str">
        <f>'XM.FILE GOC'!$F$6</f>
        <v>(30±5)</v>
      </c>
      <c r="I6" s="2190">
        <f>'XM.FILE GOC'!I6</f>
        <v>0</v>
      </c>
      <c r="J6" s="17" t="s">
        <v>8</v>
      </c>
      <c r="K6" s="26">
        <f>'XM.FILE GOC'!L6</f>
        <v>80.790000000000006</v>
      </c>
      <c r="L6" s="18" t="s">
        <v>9</v>
      </c>
      <c r="M6" s="907"/>
      <c r="N6" s="910" t="str">
        <f>IF(M6="","","+")</f>
        <v/>
      </c>
      <c r="O6" s="1584" t="str">
        <f>IF(M6="","",('XM.FILE GOC'!$G$6-M6)*2693/1000)</f>
        <v/>
      </c>
      <c r="P6" s="2895" t="str">
        <f>IF(O6="","","kg")</f>
        <v/>
      </c>
      <c r="Q6" s="1423">
        <f>'XM.FILE GOC'!P6</f>
        <v>26.6</v>
      </c>
      <c r="R6" s="949" t="s">
        <v>8</v>
      </c>
      <c r="S6" s="950">
        <f>'XM.FILE GOC'!S6</f>
        <v>9.1561999999999948</v>
      </c>
      <c r="T6" s="951" t="s">
        <v>9</v>
      </c>
      <c r="U6" s="907"/>
      <c r="V6" s="910" t="str">
        <f>IF(U6="","","+")</f>
        <v/>
      </c>
      <c r="W6" s="1584" t="str">
        <f>IF(U6="","",('XM.FILE GOC'!$G$6-U6)*2693/1000)</f>
        <v/>
      </c>
      <c r="X6" s="2895" t="str">
        <f>IF(W6="","","kg")</f>
        <v/>
      </c>
      <c r="Y6" s="1423">
        <f>'XM.FILE GOC'!W6</f>
        <v>32.799999999999997</v>
      </c>
      <c r="Z6" s="949" t="s">
        <v>8</v>
      </c>
      <c r="AA6" s="950">
        <f>'XM.FILE GOC'!Z6</f>
        <v>0</v>
      </c>
      <c r="AB6" s="951" t="s">
        <v>9</v>
      </c>
      <c r="AC6" s="907"/>
      <c r="AD6" s="910" t="str">
        <f>IF(AC6="","","+")</f>
        <v/>
      </c>
      <c r="AE6" s="1584" t="str">
        <f>IF(AC6="","",('XM.FILE GOC'!$G$6-AC6)*2693/1000)</f>
        <v/>
      </c>
      <c r="AF6" s="2895" t="str">
        <f>IF(AE6="","","kg")</f>
        <v/>
      </c>
      <c r="AG6" s="80" t="s">
        <v>39</v>
      </c>
    </row>
    <row r="7" spans="1:33" ht="48" customHeight="1">
      <c r="A7" s="3178"/>
      <c r="B7" s="3158"/>
      <c r="C7" s="3159"/>
      <c r="D7" s="3134" t="s">
        <v>100</v>
      </c>
      <c r="E7" s="3136"/>
      <c r="F7" s="46" t="s">
        <v>54</v>
      </c>
      <c r="G7" s="897" t="s">
        <v>101</v>
      </c>
      <c r="H7" s="2202"/>
      <c r="I7" s="2191"/>
      <c r="J7" s="54" t="s">
        <v>8</v>
      </c>
      <c r="K7" s="57">
        <f>K6/25*840/1000</f>
        <v>2.7145440000000005</v>
      </c>
      <c r="L7" s="56" t="s">
        <v>10</v>
      </c>
      <c r="M7" s="907"/>
      <c r="N7" s="910" t="str">
        <f>IF(M6="","","+")</f>
        <v/>
      </c>
      <c r="O7" s="1586" t="str">
        <f>IF(O6="","",O6/25*840/1000)</f>
        <v/>
      </c>
      <c r="P7" s="2895" t="str">
        <f>IF(O6="","","L")</f>
        <v/>
      </c>
      <c r="Q7" s="1676"/>
      <c r="R7" s="58" t="s">
        <v>8</v>
      </c>
      <c r="S7" s="952">
        <f>S6/25*840/1000</f>
        <v>0.30764831999999986</v>
      </c>
      <c r="T7" s="587" t="s">
        <v>10</v>
      </c>
      <c r="U7" s="907"/>
      <c r="V7" s="910" t="str">
        <f>IF(U6="","","+")</f>
        <v/>
      </c>
      <c r="W7" s="1586" t="str">
        <f>IF(W6="","",W6/25*840/1000)</f>
        <v/>
      </c>
      <c r="X7" s="2895" t="str">
        <f>IF(W6="","","L")</f>
        <v/>
      </c>
      <c r="Y7" s="1676"/>
      <c r="Z7" s="58" t="s">
        <v>8</v>
      </c>
      <c r="AA7" s="952">
        <f>AA6/25*840/1000</f>
        <v>0</v>
      </c>
      <c r="AB7" s="587" t="s">
        <v>10</v>
      </c>
      <c r="AC7" s="907"/>
      <c r="AD7" s="910" t="str">
        <f>IF(AC6="","","+")</f>
        <v/>
      </c>
      <c r="AE7" s="1586" t="str">
        <f>IF(AE6="","",AE6/25*840/1000)</f>
        <v/>
      </c>
      <c r="AF7" s="2895" t="str">
        <f>IF(AE6="","","L")</f>
        <v/>
      </c>
      <c r="AG7" s="102"/>
    </row>
    <row r="8" spans="1:33" ht="48" customHeight="1">
      <c r="A8" s="3179"/>
      <c r="B8" s="3160"/>
      <c r="C8" s="3161"/>
      <c r="D8" s="3134" t="s">
        <v>102</v>
      </c>
      <c r="E8" s="3136"/>
      <c r="F8" s="46" t="s">
        <v>54</v>
      </c>
      <c r="G8" s="897" t="s">
        <v>101</v>
      </c>
      <c r="H8" s="2202"/>
      <c r="I8" s="2191"/>
      <c r="J8" s="54" t="s">
        <v>8</v>
      </c>
      <c r="K8" s="57">
        <f>K7*10</f>
        <v>27.145440000000004</v>
      </c>
      <c r="L8" s="56" t="s">
        <v>10</v>
      </c>
      <c r="M8" s="907"/>
      <c r="N8" s="910" t="str">
        <f>IF(M6="","","+")</f>
        <v/>
      </c>
      <c r="O8" s="1586" t="str">
        <f>IF(O6="","",O7*10)</f>
        <v/>
      </c>
      <c r="P8" s="2895" t="str">
        <f>IF(O6="","","L")</f>
        <v/>
      </c>
      <c r="Q8" s="1676"/>
      <c r="R8" s="58" t="s">
        <v>8</v>
      </c>
      <c r="S8" s="952">
        <f>S7*10</f>
        <v>3.0764831999999984</v>
      </c>
      <c r="T8" s="587" t="s">
        <v>10</v>
      </c>
      <c r="U8" s="907"/>
      <c r="V8" s="910" t="str">
        <f>IF(U6="","","+")</f>
        <v/>
      </c>
      <c r="W8" s="1586" t="str">
        <f>IF(W6="","",W7*10)</f>
        <v/>
      </c>
      <c r="X8" s="2895" t="str">
        <f>IF(W6="","","L")</f>
        <v/>
      </c>
      <c r="Y8" s="1676"/>
      <c r="Z8" s="58" t="s">
        <v>8</v>
      </c>
      <c r="AA8" s="952">
        <f>AA7*10</f>
        <v>0</v>
      </c>
      <c r="AB8" s="587" t="s">
        <v>10</v>
      </c>
      <c r="AC8" s="907"/>
      <c r="AD8" s="910" t="str">
        <f>IF(AC6="","","+")</f>
        <v/>
      </c>
      <c r="AE8" s="1586" t="str">
        <f>IF(AE6="","",AE7*10)</f>
        <v/>
      </c>
      <c r="AF8" s="2895" t="str">
        <f>IF(AE6="","","L")</f>
        <v/>
      </c>
      <c r="AG8" s="80"/>
    </row>
    <row r="9" spans="1:33" ht="48" customHeight="1">
      <c r="A9" s="3177">
        <v>2</v>
      </c>
      <c r="B9" s="3151" t="s">
        <v>131</v>
      </c>
      <c r="C9" s="3157"/>
      <c r="D9" s="3164" t="s">
        <v>99</v>
      </c>
      <c r="E9" s="3165"/>
      <c r="F9" s="46" t="s">
        <v>4</v>
      </c>
      <c r="G9" s="897" t="str">
        <f>'XM.FILE GOC'!$E$9</f>
        <v>20~40</v>
      </c>
      <c r="H9" s="2202" t="str">
        <f>'XM.FILE GOC'!$F$9</f>
        <v>(30±5)</v>
      </c>
      <c r="I9" s="2190">
        <f>'XM.FILE GOC'!I9</f>
        <v>0</v>
      </c>
      <c r="J9" s="17" t="s">
        <v>8</v>
      </c>
      <c r="K9" s="26">
        <f>'XM.FILE GOC'!L9</f>
        <v>99.15</v>
      </c>
      <c r="L9" s="18" t="s">
        <v>9</v>
      </c>
      <c r="M9" s="907"/>
      <c r="N9" s="910" t="str">
        <f t="shared" ref="N9:N24" si="0">IF(M9="","","+")</f>
        <v/>
      </c>
      <c r="O9" s="1584" t="str">
        <f>IF(M9="","",('XM.FILE GOC'!$G$9-M9)*3305/1000)</f>
        <v/>
      </c>
      <c r="P9" s="2895" t="str">
        <f>IF(O9="","","kg")</f>
        <v/>
      </c>
      <c r="Q9" s="1423">
        <f>'XM.FILE GOC'!P9</f>
        <v>31</v>
      </c>
      <c r="R9" s="949" t="s">
        <v>8</v>
      </c>
      <c r="S9" s="950">
        <f>'XM.FILE GOC'!S9</f>
        <v>0</v>
      </c>
      <c r="T9" s="951" t="s">
        <v>9</v>
      </c>
      <c r="U9" s="907"/>
      <c r="V9" s="910" t="str">
        <f t="shared" ref="V9:V24" si="1">IF(U9="","","+")</f>
        <v/>
      </c>
      <c r="W9" s="1584" t="str">
        <f>IF(U9="","",('XM.FILE GOC'!$G$9-U9)*3305/1000)</f>
        <v/>
      </c>
      <c r="X9" s="2895" t="str">
        <f>IF(W9="","","kg")</f>
        <v/>
      </c>
      <c r="Y9" s="1423">
        <f>'XM.FILE GOC'!W9</f>
        <v>30.2</v>
      </c>
      <c r="Z9" s="949" t="s">
        <v>8</v>
      </c>
      <c r="AA9" s="950">
        <f>'XM.FILE GOC'!Z9</f>
        <v>0</v>
      </c>
      <c r="AB9" s="951" t="s">
        <v>9</v>
      </c>
      <c r="AC9" s="907"/>
      <c r="AD9" s="910" t="str">
        <f t="shared" ref="AD9:AD24" si="2">IF(AC9="","","+")</f>
        <v/>
      </c>
      <c r="AE9" s="1584" t="str">
        <f>IF(AC9="","",('XM.FILE GOC'!$G$9-AC9)*3305/1000)</f>
        <v/>
      </c>
      <c r="AF9" s="2895" t="str">
        <f>IF(AE9="","","kg")</f>
        <v/>
      </c>
      <c r="AG9" s="80" t="s">
        <v>39</v>
      </c>
    </row>
    <row r="10" spans="1:33" ht="48" customHeight="1">
      <c r="A10" s="3178"/>
      <c r="B10" s="3158"/>
      <c r="C10" s="3159"/>
      <c r="D10" s="3134" t="s">
        <v>100</v>
      </c>
      <c r="E10" s="3136"/>
      <c r="F10" s="46" t="s">
        <v>54</v>
      </c>
      <c r="G10" s="897" t="s">
        <v>101</v>
      </c>
      <c r="H10" s="2202"/>
      <c r="I10" s="2191"/>
      <c r="J10" s="54" t="s">
        <v>8</v>
      </c>
      <c r="K10" s="57">
        <f>K9/25*840/1000</f>
        <v>3.3314400000000002</v>
      </c>
      <c r="L10" s="56" t="s">
        <v>10</v>
      </c>
      <c r="M10" s="907"/>
      <c r="N10" s="910" t="str">
        <f>IF(M9="","","+")</f>
        <v/>
      </c>
      <c r="O10" s="1586" t="str">
        <f>IF(O9="","",O9/25*840/1000)</f>
        <v/>
      </c>
      <c r="P10" s="2895" t="str">
        <f>IF(O9="","","L")</f>
        <v/>
      </c>
      <c r="Q10" s="1676"/>
      <c r="R10" s="58" t="s">
        <v>8</v>
      </c>
      <c r="S10" s="952">
        <f>S9/25*840/1000</f>
        <v>0</v>
      </c>
      <c r="T10" s="587" t="s">
        <v>10</v>
      </c>
      <c r="U10" s="907"/>
      <c r="V10" s="910" t="str">
        <f>IF(U9="","","+")</f>
        <v/>
      </c>
      <c r="W10" s="1586" t="str">
        <f>IF(W9="","",W9/25*840/1000)</f>
        <v/>
      </c>
      <c r="X10" s="2895" t="str">
        <f>IF(W9="","","L")</f>
        <v/>
      </c>
      <c r="Y10" s="1676"/>
      <c r="Z10" s="58" t="s">
        <v>8</v>
      </c>
      <c r="AA10" s="952">
        <f>AA9/25*840/1000</f>
        <v>0</v>
      </c>
      <c r="AB10" s="587" t="s">
        <v>10</v>
      </c>
      <c r="AC10" s="907"/>
      <c r="AD10" s="910" t="str">
        <f>IF(AC9="","","+")</f>
        <v/>
      </c>
      <c r="AE10" s="1586" t="str">
        <f>IF(AE9="","",AE9/25*840/1000)</f>
        <v/>
      </c>
      <c r="AF10" s="2895" t="str">
        <f>IF(AE9="","","L")</f>
        <v/>
      </c>
      <c r="AG10" s="102"/>
    </row>
    <row r="11" spans="1:33" ht="48" customHeight="1">
      <c r="A11" s="3179"/>
      <c r="B11" s="3160"/>
      <c r="C11" s="3161"/>
      <c r="D11" s="3134" t="s">
        <v>102</v>
      </c>
      <c r="E11" s="3136"/>
      <c r="F11" s="46" t="s">
        <v>54</v>
      </c>
      <c r="G11" s="897" t="s">
        <v>101</v>
      </c>
      <c r="H11" s="2202"/>
      <c r="I11" s="2191"/>
      <c r="J11" s="54" t="s">
        <v>8</v>
      </c>
      <c r="K11" s="57">
        <f>K10*10</f>
        <v>33.314399999999999</v>
      </c>
      <c r="L11" s="56" t="s">
        <v>10</v>
      </c>
      <c r="M11" s="907"/>
      <c r="N11" s="910" t="str">
        <f>IF(M9="","","+")</f>
        <v/>
      </c>
      <c r="O11" s="1586" t="str">
        <f>IF(O9="","",O10*10)</f>
        <v/>
      </c>
      <c r="P11" s="2895" t="str">
        <f>IF(O9="","","L")</f>
        <v/>
      </c>
      <c r="Q11" s="1676"/>
      <c r="R11" s="58" t="s">
        <v>8</v>
      </c>
      <c r="S11" s="952">
        <f>S10*10</f>
        <v>0</v>
      </c>
      <c r="T11" s="587" t="s">
        <v>10</v>
      </c>
      <c r="U11" s="907"/>
      <c r="V11" s="910" t="str">
        <f>IF(U9="","","+")</f>
        <v/>
      </c>
      <c r="W11" s="1586" t="str">
        <f>IF(W9="","",W10*10)</f>
        <v/>
      </c>
      <c r="X11" s="2895" t="str">
        <f>IF(W9="","","L")</f>
        <v/>
      </c>
      <c r="Y11" s="1676"/>
      <c r="Z11" s="58" t="s">
        <v>8</v>
      </c>
      <c r="AA11" s="952">
        <f>AA10*10</f>
        <v>0</v>
      </c>
      <c r="AB11" s="587" t="s">
        <v>10</v>
      </c>
      <c r="AC11" s="907"/>
      <c r="AD11" s="910" t="str">
        <f>IF(AC9="","","+")</f>
        <v/>
      </c>
      <c r="AE11" s="1586" t="str">
        <f>IF(AE9="","",AE10*10)</f>
        <v/>
      </c>
      <c r="AF11" s="2895" t="str">
        <f>IF(AE9="","","L")</f>
        <v/>
      </c>
      <c r="AG11" s="102"/>
    </row>
    <row r="12" spans="1:33" ht="48" customHeight="1">
      <c r="A12" s="3177">
        <v>3</v>
      </c>
      <c r="B12" s="3162" t="s">
        <v>132</v>
      </c>
      <c r="C12" s="3163"/>
      <c r="D12" s="3164" t="s">
        <v>99</v>
      </c>
      <c r="E12" s="3165"/>
      <c r="F12" s="46" t="s">
        <v>4</v>
      </c>
      <c r="G12" s="897" t="str">
        <f>'XM.FILE GOC'!$E$12</f>
        <v>60~80</v>
      </c>
      <c r="H12" s="2202" t="str">
        <f>'XM.FILE GOC'!$F$12</f>
        <v>(70±10)</v>
      </c>
      <c r="I12" s="2192">
        <f>'XM.FILE GOC'!I12</f>
        <v>0</v>
      </c>
      <c r="J12" s="17" t="s">
        <v>8</v>
      </c>
      <c r="K12" s="26">
        <f>'XM.FILE GOC'!L12</f>
        <v>80.92</v>
      </c>
      <c r="L12" s="18" t="s">
        <v>9</v>
      </c>
      <c r="M12" s="907"/>
      <c r="N12" s="910" t="str">
        <f t="shared" si="0"/>
        <v/>
      </c>
      <c r="O12" s="1584" t="str">
        <f>IF(M12="","",('XM.FILE GOC'!$G$12-M12)*1156/1000)</f>
        <v/>
      </c>
      <c r="P12" s="2895" t="str">
        <f>IF(O12="","","kg")</f>
        <v/>
      </c>
      <c r="Q12" s="1401">
        <f>'XM.FILE GOC'!P12</f>
        <v>77</v>
      </c>
      <c r="R12" s="949" t="s">
        <v>8</v>
      </c>
      <c r="S12" s="950">
        <f>'XM.FILE GOC'!S12</f>
        <v>0</v>
      </c>
      <c r="T12" s="951" t="s">
        <v>9</v>
      </c>
      <c r="U12" s="907"/>
      <c r="V12" s="910" t="str">
        <f t="shared" si="1"/>
        <v/>
      </c>
      <c r="W12" s="1584" t="str">
        <f>IF(U12="","",('XM.FILE GOC'!$G$12-U12)*1156/1000)</f>
        <v/>
      </c>
      <c r="X12" s="2895" t="str">
        <f>IF(W12="","","kg")</f>
        <v/>
      </c>
      <c r="Y12" s="1401">
        <f>'XM.FILE GOC'!W12</f>
        <v>78</v>
      </c>
      <c r="Z12" s="949" t="s">
        <v>8</v>
      </c>
      <c r="AA12" s="950">
        <f>'XM.FILE GOC'!Z12</f>
        <v>0</v>
      </c>
      <c r="AB12" s="951" t="s">
        <v>9</v>
      </c>
      <c r="AC12" s="907"/>
      <c r="AD12" s="910" t="str">
        <f t="shared" si="2"/>
        <v/>
      </c>
      <c r="AE12" s="1584" t="str">
        <f>IF(AC12="","",('XM.FILE GOC'!$G$12-AC12)*1156/1000)</f>
        <v/>
      </c>
      <c r="AF12" s="2895" t="str">
        <f>IF(AE12="","","kg")</f>
        <v/>
      </c>
      <c r="AG12" s="80" t="s">
        <v>39</v>
      </c>
    </row>
    <row r="13" spans="1:33" ht="48" customHeight="1">
      <c r="A13" s="3179"/>
      <c r="B13" s="3163"/>
      <c r="C13" s="3163"/>
      <c r="D13" s="3134" t="s">
        <v>103</v>
      </c>
      <c r="E13" s="3136"/>
      <c r="F13" s="46" t="s">
        <v>54</v>
      </c>
      <c r="G13" s="897" t="s">
        <v>101</v>
      </c>
      <c r="H13" s="2202"/>
      <c r="I13" s="2193"/>
      <c r="J13" s="54" t="s">
        <v>8</v>
      </c>
      <c r="K13" s="57">
        <f>K12/25*7.5</f>
        <v>24.276</v>
      </c>
      <c r="L13" s="56" t="s">
        <v>10</v>
      </c>
      <c r="M13" s="907"/>
      <c r="N13" s="910" t="str">
        <f>IF(M12="","","+")</f>
        <v/>
      </c>
      <c r="O13" s="1586" t="str">
        <f>IF(O12="","",O12/25*7.5)</f>
        <v/>
      </c>
      <c r="P13" s="2895" t="str">
        <f>IF(O12="","","L")</f>
        <v/>
      </c>
      <c r="Q13" s="1673"/>
      <c r="R13" s="58" t="s">
        <v>8</v>
      </c>
      <c r="S13" s="952">
        <f>S12/25*7.5</f>
        <v>0</v>
      </c>
      <c r="T13" s="587" t="s">
        <v>10</v>
      </c>
      <c r="U13" s="907"/>
      <c r="V13" s="910" t="str">
        <f>IF(U12="","","+")</f>
        <v/>
      </c>
      <c r="W13" s="1586" t="str">
        <f>IF(W12="","",W12/25*7.5)</f>
        <v/>
      </c>
      <c r="X13" s="2895" t="str">
        <f>IF(W12="","","L")</f>
        <v/>
      </c>
      <c r="Y13" s="1673"/>
      <c r="Z13" s="58" t="s">
        <v>8</v>
      </c>
      <c r="AA13" s="952">
        <f>AA12/25*7.5</f>
        <v>0</v>
      </c>
      <c r="AB13" s="587" t="s">
        <v>10</v>
      </c>
      <c r="AC13" s="907"/>
      <c r="AD13" s="910" t="str">
        <f>IF(AC12="","","+")</f>
        <v/>
      </c>
      <c r="AE13" s="1586" t="str">
        <f>IF(AE12="","",AE12/25*7.5)</f>
        <v/>
      </c>
      <c r="AF13" s="2895" t="str">
        <f>IF(AE12="","","L")</f>
        <v/>
      </c>
      <c r="AG13" s="80"/>
    </row>
    <row r="14" spans="1:33" ht="48" customHeight="1">
      <c r="A14" s="3177">
        <v>4</v>
      </c>
      <c r="B14" s="3162" t="s">
        <v>133</v>
      </c>
      <c r="C14" s="3163"/>
      <c r="D14" s="3164" t="s">
        <v>99</v>
      </c>
      <c r="E14" s="3165"/>
      <c r="F14" s="46" t="s">
        <v>4</v>
      </c>
      <c r="G14" s="897" t="str">
        <f>'XM.FILE GOC'!$E$14</f>
        <v>60~80</v>
      </c>
      <c r="H14" s="2202" t="str">
        <f>'XM.FILE GOC'!$F$14</f>
        <v>(70±10)</v>
      </c>
      <c r="I14" s="2192">
        <f>'XM.FILE GOC'!I14</f>
        <v>0</v>
      </c>
      <c r="J14" s="17" t="s">
        <v>8</v>
      </c>
      <c r="K14" s="26">
        <f>'XM.FILE GOC'!L14</f>
        <v>102.13</v>
      </c>
      <c r="L14" s="18" t="s">
        <v>9</v>
      </c>
      <c r="M14" s="907"/>
      <c r="N14" s="910" t="str">
        <f t="shared" si="0"/>
        <v/>
      </c>
      <c r="O14" s="1584" t="str">
        <f>IF(M14="","",('XM.FILE GOC'!$G$14-M14)*1459/1000)</f>
        <v/>
      </c>
      <c r="P14" s="2895" t="str">
        <f>IF(O14="","","kg")</f>
        <v/>
      </c>
      <c r="Q14" s="1401">
        <f>'XM.FILE GOC'!P14</f>
        <v>72.599999999999994</v>
      </c>
      <c r="R14" s="949" t="s">
        <v>8</v>
      </c>
      <c r="S14" s="950">
        <f>'XM.FILE GOC'!S14</f>
        <v>0</v>
      </c>
      <c r="T14" s="951" t="s">
        <v>9</v>
      </c>
      <c r="U14" s="907"/>
      <c r="V14" s="910" t="str">
        <f t="shared" si="1"/>
        <v/>
      </c>
      <c r="W14" s="1584" t="str">
        <f>IF(U14="","",('XM.FILE GOC'!$G$14-U14)*1459/1000)</f>
        <v/>
      </c>
      <c r="X14" s="2895" t="str">
        <f>IF(W14="","","kg")</f>
        <v/>
      </c>
      <c r="Y14" s="1401">
        <f>'XM.FILE GOC'!W14</f>
        <v>72.400000000000006</v>
      </c>
      <c r="Z14" s="949" t="s">
        <v>8</v>
      </c>
      <c r="AA14" s="950">
        <f>'XM.FILE GOC'!Z14</f>
        <v>0</v>
      </c>
      <c r="AB14" s="951" t="s">
        <v>9</v>
      </c>
      <c r="AC14" s="907"/>
      <c r="AD14" s="910" t="str">
        <f t="shared" si="2"/>
        <v/>
      </c>
      <c r="AE14" s="1584" t="str">
        <f>IF(AC14="","",('XM.FILE GOC'!$G$14-AC14)*1459/1000)</f>
        <v/>
      </c>
      <c r="AF14" s="2895" t="str">
        <f>IF(AE14="","","kg")</f>
        <v/>
      </c>
      <c r="AG14" s="80" t="s">
        <v>39</v>
      </c>
    </row>
    <row r="15" spans="1:33" ht="48" customHeight="1">
      <c r="A15" s="3179"/>
      <c r="B15" s="3163"/>
      <c r="C15" s="3163"/>
      <c r="D15" s="3134" t="s">
        <v>103</v>
      </c>
      <c r="E15" s="3136"/>
      <c r="F15" s="46" t="s">
        <v>54</v>
      </c>
      <c r="G15" s="897" t="s">
        <v>101</v>
      </c>
      <c r="H15" s="2202"/>
      <c r="I15" s="2191"/>
      <c r="J15" s="54" t="s">
        <v>8</v>
      </c>
      <c r="K15" s="57">
        <f>K14/25*7.5</f>
        <v>30.638999999999996</v>
      </c>
      <c r="L15" s="56" t="s">
        <v>10</v>
      </c>
      <c r="M15" s="907"/>
      <c r="N15" s="910" t="str">
        <f>IF(M14="","","+")</f>
        <v/>
      </c>
      <c r="O15" s="1586" t="str">
        <f>IF(O14="","",O14/25*7.5)</f>
        <v/>
      </c>
      <c r="P15" s="2895" t="str">
        <f>IF(O14="","","L")</f>
        <v/>
      </c>
      <c r="Q15" s="1676"/>
      <c r="R15" s="58" t="s">
        <v>8</v>
      </c>
      <c r="S15" s="952">
        <f>S14/25*7.5</f>
        <v>0</v>
      </c>
      <c r="T15" s="587" t="s">
        <v>10</v>
      </c>
      <c r="U15" s="907"/>
      <c r="V15" s="910" t="str">
        <f>IF(U14="","","+")</f>
        <v/>
      </c>
      <c r="W15" s="1586" t="str">
        <f>IF(W14="","",W14/25*7.5)</f>
        <v/>
      </c>
      <c r="X15" s="2895" t="str">
        <f>IF(W14="","","L")</f>
        <v/>
      </c>
      <c r="Y15" s="1676"/>
      <c r="Z15" s="58" t="s">
        <v>8</v>
      </c>
      <c r="AA15" s="952">
        <f>AA14/25*7.5</f>
        <v>0</v>
      </c>
      <c r="AB15" s="587" t="s">
        <v>10</v>
      </c>
      <c r="AC15" s="907"/>
      <c r="AD15" s="910" t="str">
        <f>IF(AC14="","","+")</f>
        <v/>
      </c>
      <c r="AE15" s="1586" t="str">
        <f>IF(AE14="","",AE14/25*7.5)</f>
        <v/>
      </c>
      <c r="AF15" s="2895" t="str">
        <f>IF(AE14="","","L")</f>
        <v/>
      </c>
      <c r="AG15" s="80"/>
    </row>
    <row r="16" spans="1:33" ht="48" customHeight="1">
      <c r="A16" s="3177">
        <v>5</v>
      </c>
      <c r="B16" s="3134" t="s">
        <v>78</v>
      </c>
      <c r="C16" s="3135"/>
      <c r="D16" s="3135"/>
      <c r="E16" s="3136"/>
      <c r="F16" s="46" t="s">
        <v>4</v>
      </c>
      <c r="G16" s="897" t="str">
        <f>'XM.FILE GOC'!$E$16</f>
        <v>130 - 150</v>
      </c>
      <c r="H16" s="2202" t="str">
        <f>'XM.FILE GOC'!$F$16</f>
        <v>(140±7)</v>
      </c>
      <c r="I16" s="2194">
        <f>'XM.FILE GOC'!I16</f>
        <v>0</v>
      </c>
      <c r="J16" s="17" t="s">
        <v>8</v>
      </c>
      <c r="K16" s="26">
        <f>'XM.FILE GOC'!L16</f>
        <v>2793.14</v>
      </c>
      <c r="L16" s="18" t="s">
        <v>9</v>
      </c>
      <c r="M16" s="907"/>
      <c r="N16" s="910" t="str">
        <f t="shared" si="0"/>
        <v/>
      </c>
      <c r="O16" s="1584" t="str">
        <f>IF(M16="","",('XM.FILE GOC'!$G$16-M16)*19951/1000)</f>
        <v/>
      </c>
      <c r="P16" s="2895" t="str">
        <f>IF(O16="","","kg")</f>
        <v/>
      </c>
      <c r="Q16" s="1755">
        <f>'XM.FILE GOC'!P16</f>
        <v>133.6</v>
      </c>
      <c r="R16" s="949" t="s">
        <v>8</v>
      </c>
      <c r="S16" s="950">
        <f>'XM.FILE GOC'!S16</f>
        <v>127.68640000000011</v>
      </c>
      <c r="T16" s="951" t="s">
        <v>9</v>
      </c>
      <c r="U16" s="907"/>
      <c r="V16" s="910" t="str">
        <f t="shared" si="1"/>
        <v/>
      </c>
      <c r="W16" s="1584" t="str">
        <f>IF(U16="","",('XM.FILE GOC'!$G$16-U16)*19951/1000)</f>
        <v/>
      </c>
      <c r="X16" s="2895" t="str">
        <f>IF(W16="","","kg")</f>
        <v/>
      </c>
      <c r="Y16" s="1755">
        <f>'XM.FILE GOC'!W16</f>
        <v>140.80000000000001</v>
      </c>
      <c r="Z16" s="949" t="s">
        <v>8</v>
      </c>
      <c r="AA16" s="950">
        <f>'XM.FILE GOC'!Z16</f>
        <v>0</v>
      </c>
      <c r="AB16" s="951" t="s">
        <v>9</v>
      </c>
      <c r="AC16" s="907"/>
      <c r="AD16" s="910" t="str">
        <f t="shared" si="2"/>
        <v/>
      </c>
      <c r="AE16" s="1584" t="str">
        <f>IF(AC16="","",('XM.FILE GOC'!$G$16-AC16)*19951/1000)</f>
        <v/>
      </c>
      <c r="AF16" s="2895" t="str">
        <f>IF(AE16="","","kg")</f>
        <v/>
      </c>
      <c r="AG16" s="80" t="s">
        <v>40</v>
      </c>
    </row>
    <row r="17" spans="1:33" ht="48" customHeight="1">
      <c r="A17" s="3179"/>
      <c r="B17" s="3134" t="s">
        <v>56</v>
      </c>
      <c r="C17" s="3135"/>
      <c r="D17" s="3135"/>
      <c r="E17" s="3136"/>
      <c r="F17" s="46" t="s">
        <v>4</v>
      </c>
      <c r="G17" s="897" t="str">
        <f>'XM.FILE GOC'!$E$17</f>
        <v>8~12</v>
      </c>
      <c r="H17" s="2202" t="str">
        <f>'XM.FILE GOC'!$F$17</f>
        <v>(10±2)</v>
      </c>
      <c r="I17" s="2195">
        <f>'XM.FILE GOC'!I17</f>
        <v>0</v>
      </c>
      <c r="J17" s="17" t="s">
        <v>8</v>
      </c>
      <c r="K17" s="26">
        <f>'XM.FILE GOC'!L17</f>
        <v>199.51</v>
      </c>
      <c r="L17" s="18" t="s">
        <v>9</v>
      </c>
      <c r="M17" s="907"/>
      <c r="N17" s="910" t="str">
        <f t="shared" si="0"/>
        <v/>
      </c>
      <c r="O17" s="1584" t="str">
        <f>IF(M17="","",('XM.FILE GOC'!$G$17-M17)*19951/1000)</f>
        <v/>
      </c>
      <c r="P17" s="2895" t="str">
        <f>IF(O17="","","pcs")</f>
        <v/>
      </c>
      <c r="Q17" s="1761">
        <f>'XM.FILE GOC'!P17</f>
        <v>12.740000000000002</v>
      </c>
      <c r="R17" s="949" t="s">
        <v>8</v>
      </c>
      <c r="S17" s="950">
        <f>'XM.FILE GOC'!S17</f>
        <v>0</v>
      </c>
      <c r="T17" s="18" t="s">
        <v>9</v>
      </c>
      <c r="U17" s="907"/>
      <c r="V17" s="910" t="str">
        <f t="shared" si="1"/>
        <v/>
      </c>
      <c r="W17" s="1584" t="str">
        <f>IF(U17="","",('XM.FILE GOC'!$G$17-U17)*19951/1000)</f>
        <v/>
      </c>
      <c r="X17" s="2895" t="str">
        <f>IF(W17="","","pcs")</f>
        <v/>
      </c>
      <c r="Y17" s="1761">
        <f>'XM.FILE GOC'!W17</f>
        <v>12.48</v>
      </c>
      <c r="Z17" s="949" t="s">
        <v>8</v>
      </c>
      <c r="AA17" s="950">
        <f>'XM.FILE GOC'!Z17</f>
        <v>0</v>
      </c>
      <c r="AB17" s="18" t="s">
        <v>9</v>
      </c>
      <c r="AC17" s="907"/>
      <c r="AD17" s="910" t="str">
        <f t="shared" si="2"/>
        <v/>
      </c>
      <c r="AE17" s="1584" t="str">
        <f>IF(AC17="","",('XM.FILE GOC'!$G$17-AC17)*19951/1000)</f>
        <v/>
      </c>
      <c r="AF17" s="2895" t="str">
        <f>IF(AE17="","","pcs")</f>
        <v/>
      </c>
      <c r="AG17" s="80" t="s">
        <v>41</v>
      </c>
    </row>
    <row r="18" spans="1:33" ht="48" customHeight="1">
      <c r="A18" s="3177">
        <v>6</v>
      </c>
      <c r="B18" s="3151" t="s">
        <v>936</v>
      </c>
      <c r="C18" s="3152"/>
      <c r="D18" s="3152"/>
      <c r="E18" s="3153"/>
      <c r="F18" s="46" t="s">
        <v>3</v>
      </c>
      <c r="G18" s="897" t="str">
        <f>'XM.FILE GOC'!$E$18</f>
        <v xml:space="preserve">12~18 </v>
      </c>
      <c r="H18" s="2202" t="str">
        <f>'XM.FILE GOC'!$F$18</f>
        <v>(14±2)</v>
      </c>
      <c r="I18" s="2196">
        <f>'XM.FILE GOC'!I18</f>
        <v>0</v>
      </c>
      <c r="J18" s="54" t="s">
        <v>8</v>
      </c>
      <c r="K18" s="55">
        <f>'XM.FILE GOC'!L18</f>
        <v>80.5</v>
      </c>
      <c r="L18" s="56" t="s">
        <v>10</v>
      </c>
      <c r="M18" s="907"/>
      <c r="N18" s="910" t="str">
        <f t="shared" si="0"/>
        <v/>
      </c>
      <c r="O18" s="935" t="str">
        <f>IF(M18="","",('XM.FILE GOC'!$G$18-M18)*575/99)</f>
        <v/>
      </c>
      <c r="P18" s="2895" t="str">
        <f>IF(O18="","","L")</f>
        <v/>
      </c>
      <c r="Q18" s="1731">
        <f>'XM.FILE GOC'!P18</f>
        <v>15.827338129496402</v>
      </c>
      <c r="R18" s="58" t="s">
        <v>8</v>
      </c>
      <c r="S18" s="586">
        <f>'XM.FILE GOC'!S18</f>
        <v>0</v>
      </c>
      <c r="T18" s="587" t="s">
        <v>10</v>
      </c>
      <c r="U18" s="907"/>
      <c r="V18" s="910" t="str">
        <f t="shared" si="1"/>
        <v/>
      </c>
      <c r="W18" s="935" t="str">
        <f>IF(U18="","",('XM.FILE GOC'!$G$18-U18)*575/99)</f>
        <v/>
      </c>
      <c r="X18" s="2895" t="str">
        <f>IF(W18="","","L")</f>
        <v/>
      </c>
      <c r="Y18" s="1731">
        <f>'XM.FILE GOC'!W18</f>
        <v>15.827338129496402</v>
      </c>
      <c r="Z18" s="58" t="s">
        <v>8</v>
      </c>
      <c r="AA18" s="586">
        <f>'XM.FILE GOC'!Z18</f>
        <v>0</v>
      </c>
      <c r="AB18" s="587" t="s">
        <v>10</v>
      </c>
      <c r="AC18" s="907"/>
      <c r="AD18" s="910" t="str">
        <f t="shared" si="2"/>
        <v/>
      </c>
      <c r="AE18" s="935" t="str">
        <f>IF(AC18="","",('XM.FILE GOC'!$G$18-AC18)*575/99)</f>
        <v/>
      </c>
      <c r="AF18" s="2895" t="str">
        <f>IF(AE18="","","L")</f>
        <v/>
      </c>
      <c r="AG18" s="80" t="s">
        <v>42</v>
      </c>
    </row>
    <row r="19" spans="1:33" ht="48" customHeight="1">
      <c r="A19" s="3179"/>
      <c r="B19" s="3154"/>
      <c r="C19" s="3155"/>
      <c r="D19" s="3155"/>
      <c r="E19" s="3156"/>
      <c r="F19" s="46" t="s">
        <v>5</v>
      </c>
      <c r="G19" s="897" t="str">
        <f>'XM.FILE GOC'!$E$19</f>
        <v>1.5~1.9</v>
      </c>
      <c r="H19" s="2202" t="str">
        <f>'XM.FILE GOC'!$F$19</f>
        <v>(1.7±0.1 )</v>
      </c>
      <c r="I19" s="2176">
        <f>'XM.FILE GOC'!I19</f>
        <v>0</v>
      </c>
      <c r="J19" s="5"/>
      <c r="K19" s="26">
        <f>'XM.FILE GOC'!L19</f>
        <v>0</v>
      </c>
      <c r="L19" s="6"/>
      <c r="M19" s="907"/>
      <c r="N19" s="910" t="str">
        <f t="shared" si="0"/>
        <v/>
      </c>
      <c r="O19" s="1584"/>
      <c r="P19" s="2896"/>
      <c r="Q19" s="2176">
        <f>'XM.FILE GOC'!P19</f>
        <v>1.63</v>
      </c>
      <c r="R19" s="953"/>
      <c r="S19" s="950"/>
      <c r="T19" s="954"/>
      <c r="U19" s="907"/>
      <c r="V19" s="910" t="str">
        <f t="shared" si="1"/>
        <v/>
      </c>
      <c r="W19" s="1584"/>
      <c r="X19" s="2896"/>
      <c r="Y19" s="2176">
        <f>'XM.FILE GOC'!W19</f>
        <v>1.64</v>
      </c>
      <c r="Z19" s="953"/>
      <c r="AA19" s="950"/>
      <c r="AB19" s="954"/>
      <c r="AC19" s="907"/>
      <c r="AD19" s="910" t="str">
        <f t="shared" si="2"/>
        <v/>
      </c>
      <c r="AE19" s="1584"/>
      <c r="AF19" s="2896"/>
      <c r="AG19" s="80"/>
    </row>
    <row r="20" spans="1:33" ht="48" customHeight="1">
      <c r="A20" s="957">
        <v>7</v>
      </c>
      <c r="B20" s="3134" t="s">
        <v>57</v>
      </c>
      <c r="C20" s="3135"/>
      <c r="D20" s="3135"/>
      <c r="E20" s="3136"/>
      <c r="F20" s="958" t="s">
        <v>6</v>
      </c>
      <c r="G20" s="897" t="str">
        <f>'XM.FILE GOC'!$E$20</f>
        <v xml:space="preserve">40~50 </v>
      </c>
      <c r="H20" s="2202" t="str">
        <f>'XM.FILE GOC'!$F$20</f>
        <v>(45±5)</v>
      </c>
      <c r="I20" s="2197">
        <f>'XM.FILE GOC'!I20</f>
        <v>0</v>
      </c>
      <c r="J20" s="17" t="s">
        <v>8</v>
      </c>
      <c r="K20" s="26">
        <f>'XM.FILE GOC'!L20</f>
        <v>954.9</v>
      </c>
      <c r="L20" s="18" t="s">
        <v>10</v>
      </c>
      <c r="M20" s="914"/>
      <c r="N20" s="910" t="str">
        <f t="shared" si="0"/>
        <v/>
      </c>
      <c r="O20" s="1584" t="str">
        <f>IF(M20="","",('XM.FILE GOC'!$G$20-M20)*2122)</f>
        <v/>
      </c>
      <c r="P20" s="2895" t="str">
        <f>IF(O20="","","L")</f>
        <v/>
      </c>
      <c r="Q20" s="1736">
        <f>'XM.FILE GOC'!P20</f>
        <v>0.43343749999999998</v>
      </c>
      <c r="R20" s="949" t="s">
        <v>8</v>
      </c>
      <c r="S20" s="950">
        <f>'XM.FILE GOC'!S20</f>
        <v>35.145625000000074</v>
      </c>
      <c r="T20" s="951" t="s">
        <v>10</v>
      </c>
      <c r="U20" s="914"/>
      <c r="V20" s="910" t="str">
        <f t="shared" si="1"/>
        <v/>
      </c>
      <c r="W20" s="1584" t="str">
        <f>IF(U20="","",('XM.FILE GOC'!$G$20-U20)*2122)</f>
        <v/>
      </c>
      <c r="X20" s="2895" t="str">
        <f>IF(W20="","","L")</f>
        <v/>
      </c>
      <c r="Y20" s="1736">
        <f>'XM.FILE GOC'!W20</f>
        <v>0.47906250000000006</v>
      </c>
      <c r="Z20" s="949" t="s">
        <v>8</v>
      </c>
      <c r="AA20" s="950">
        <f>'XM.FILE GOC'!Z20</f>
        <v>0</v>
      </c>
      <c r="AB20" s="951" t="s">
        <v>10</v>
      </c>
      <c r="AC20" s="914"/>
      <c r="AD20" s="910" t="str">
        <f t="shared" si="2"/>
        <v/>
      </c>
      <c r="AE20" s="1584" t="str">
        <f>IF(AC20="","",('XM.FILE GOC'!$G$20-AC20)*2122)</f>
        <v/>
      </c>
      <c r="AF20" s="2895" t="str">
        <f>IF(AE20="","","L")</f>
        <v/>
      </c>
      <c r="AG20" s="80" t="s">
        <v>43</v>
      </c>
    </row>
    <row r="21" spans="1:33" ht="48" hidden="1" customHeight="1">
      <c r="A21" s="957">
        <v>8</v>
      </c>
      <c r="B21" s="3134" t="s">
        <v>58</v>
      </c>
      <c r="C21" s="3135"/>
      <c r="D21" s="3135"/>
      <c r="E21" s="3136"/>
      <c r="F21" s="958" t="s">
        <v>6</v>
      </c>
      <c r="G21" s="897" t="str">
        <f>'XM.FILE GOC'!$E$21</f>
        <v>(22±5) =17~27</v>
      </c>
      <c r="H21" s="2202" t="str">
        <f>'XM.FILE GOC'!$F$21</f>
        <v>(22±5)</v>
      </c>
      <c r="I21" s="2198">
        <f>'XM.FILE GOC'!I21</f>
        <v>0</v>
      </c>
      <c r="J21" s="58" t="s">
        <v>8</v>
      </c>
      <c r="K21" s="55">
        <f>'XM.FILE GOC'!L21</f>
        <v>134.64000000000001</v>
      </c>
      <c r="L21" s="56" t="s">
        <v>10</v>
      </c>
      <c r="M21" s="914"/>
      <c r="N21" s="910" t="str">
        <f t="shared" si="0"/>
        <v/>
      </c>
      <c r="O21" s="935">
        <f>('XM.FILE GOC'!$G$21-M21)*612</f>
        <v>134.64000000000001</v>
      </c>
      <c r="P21" s="909" t="s">
        <v>10</v>
      </c>
      <c r="Q21" s="1765">
        <f>'XM.FILE GOC'!P21</f>
        <v>0</v>
      </c>
      <c r="R21" s="58" t="s">
        <v>8</v>
      </c>
      <c r="S21" s="586">
        <f>'XM.FILE GOC'!S21</f>
        <v>134.64000000000001</v>
      </c>
      <c r="T21" s="587" t="s">
        <v>10</v>
      </c>
      <c r="U21" s="914"/>
      <c r="V21" s="910" t="str">
        <f t="shared" si="1"/>
        <v/>
      </c>
      <c r="W21" s="935">
        <f>('XM.FILE GOC'!$G$21-U21)*612</f>
        <v>134.64000000000001</v>
      </c>
      <c r="X21" s="909" t="s">
        <v>10</v>
      </c>
      <c r="Y21" s="1765">
        <f>'XM.FILE GOC'!W21</f>
        <v>0</v>
      </c>
      <c r="Z21" s="58" t="s">
        <v>8</v>
      </c>
      <c r="AA21" s="586">
        <f>'XM.FILE GOC'!Z21</f>
        <v>134.64000000000001</v>
      </c>
      <c r="AB21" s="951" t="s">
        <v>10</v>
      </c>
      <c r="AC21" s="914"/>
      <c r="AD21" s="910" t="str">
        <f t="shared" si="2"/>
        <v/>
      </c>
      <c r="AE21" s="935">
        <f>('XM.FILE GOC'!$G$21-AC21)*612</f>
        <v>134.64000000000001</v>
      </c>
      <c r="AF21" s="909" t="s">
        <v>10</v>
      </c>
      <c r="AG21" s="80" t="s">
        <v>43</v>
      </c>
    </row>
    <row r="22" spans="1:33" ht="48" hidden="1" customHeight="1">
      <c r="A22" s="957">
        <v>9</v>
      </c>
      <c r="B22" s="3134" t="s">
        <v>107</v>
      </c>
      <c r="C22" s="3135"/>
      <c r="D22" s="3135"/>
      <c r="E22" s="3136"/>
      <c r="F22" s="958" t="s">
        <v>6</v>
      </c>
      <c r="G22" s="897" t="str">
        <f>'XM.FILE GOC'!$E$22</f>
        <v>5~15</v>
      </c>
      <c r="H22" s="2202" t="str">
        <f>'XM.FILE GOC'!$F$22</f>
        <v>(10±3)</v>
      </c>
      <c r="I22" s="2198">
        <f>'XM.FILE GOC'!I22</f>
        <v>0</v>
      </c>
      <c r="J22" s="17" t="s">
        <v>8</v>
      </c>
      <c r="K22" s="26">
        <f>'XM.FILE GOC'!L22</f>
        <v>57.5</v>
      </c>
      <c r="L22" s="18" t="s">
        <v>10</v>
      </c>
      <c r="M22" s="914"/>
      <c r="N22" s="910" t="str">
        <f t="shared" si="0"/>
        <v/>
      </c>
      <c r="O22" s="1584">
        <f>('XM.FILE GOC'!$G$22-M22)*575</f>
        <v>57.5</v>
      </c>
      <c r="P22" s="909" t="s">
        <v>10</v>
      </c>
      <c r="Q22" s="1765">
        <f>'XM.FILE GOC'!P22</f>
        <v>0.13459375000000001</v>
      </c>
      <c r="R22" s="949" t="s">
        <v>8</v>
      </c>
      <c r="S22" s="950">
        <f>'XM.FILE GOC'!S22</f>
        <v>0</v>
      </c>
      <c r="T22" s="951" t="s">
        <v>10</v>
      </c>
      <c r="U22" s="914"/>
      <c r="V22" s="910" t="str">
        <f t="shared" si="1"/>
        <v/>
      </c>
      <c r="W22" s="1584">
        <f>('XM.FILE GOC'!$G$22-U22)*575</f>
        <v>57.5</v>
      </c>
      <c r="X22" s="909" t="s">
        <v>10</v>
      </c>
      <c r="Y22" s="1765">
        <f>'XM.FILE GOC'!W22</f>
        <v>0.18478124999999998</v>
      </c>
      <c r="Z22" s="949" t="s">
        <v>8</v>
      </c>
      <c r="AA22" s="950">
        <f>'XM.FILE GOC'!Z22</f>
        <v>0</v>
      </c>
      <c r="AB22" s="951" t="s">
        <v>10</v>
      </c>
      <c r="AC22" s="914"/>
      <c r="AD22" s="910" t="str">
        <f t="shared" si="2"/>
        <v/>
      </c>
      <c r="AE22" s="1584">
        <f>('XM.FILE GOC'!$G$22-AC22)*575</f>
        <v>57.5</v>
      </c>
      <c r="AF22" s="909" t="s">
        <v>10</v>
      </c>
      <c r="AG22" s="80" t="s">
        <v>44</v>
      </c>
    </row>
    <row r="23" spans="1:33" ht="48" customHeight="1">
      <c r="A23" s="957">
        <v>10</v>
      </c>
      <c r="B23" s="3134" t="s">
        <v>937</v>
      </c>
      <c r="C23" s="3135"/>
      <c r="D23" s="3135"/>
      <c r="E23" s="3136"/>
      <c r="F23" s="958" t="s">
        <v>3</v>
      </c>
      <c r="G23" s="897" t="str">
        <f>'XM.FILE GOC'!$E$23</f>
        <v>0.5~1.0</v>
      </c>
      <c r="H23" s="2202" t="str">
        <f>'XM.FILE GOC'!$F$23</f>
        <v>(0.7±0.1)</v>
      </c>
      <c r="I23" s="1767">
        <f>'XM.FILE GOC'!I23</f>
        <v>0</v>
      </c>
      <c r="J23" s="17" t="s">
        <v>8</v>
      </c>
      <c r="K23" s="43">
        <f>'XM.FILE GOC'!L23</f>
        <v>3.7799286805909325</v>
      </c>
      <c r="L23" s="18" t="s">
        <v>10</v>
      </c>
      <c r="M23" s="1572"/>
      <c r="N23" s="910" t="str">
        <f t="shared" si="0"/>
        <v/>
      </c>
      <c r="O23" s="935" t="str">
        <f>IF(M23="","",('XM.FILE GOC'!$G$23-M23)*530/65%)</f>
        <v/>
      </c>
      <c r="P23" s="2895" t="str">
        <f>IF(O23="","","L")</f>
        <v/>
      </c>
      <c r="Q23" s="1767">
        <f>'XM.FILE GOC'!P23</f>
        <v>0</v>
      </c>
      <c r="R23" s="949" t="s">
        <v>8</v>
      </c>
      <c r="S23" s="955">
        <f>'XM.FILE GOC'!S23</f>
        <v>3.7799286805909325</v>
      </c>
      <c r="T23" s="951" t="s">
        <v>10</v>
      </c>
      <c r="U23" s="1572"/>
      <c r="V23" s="910" t="str">
        <f t="shared" si="1"/>
        <v/>
      </c>
      <c r="W23" s="935" t="str">
        <f>IF(U23="","",('XM.FILE GOC'!$G$23-U23)*530/65%)</f>
        <v/>
      </c>
      <c r="X23" s="2895" t="str">
        <f>IF(W23="","","L")</f>
        <v/>
      </c>
      <c r="Y23" s="1767">
        <f>'XM.FILE GOC'!W23</f>
        <v>0</v>
      </c>
      <c r="Z23" s="949" t="s">
        <v>8</v>
      </c>
      <c r="AA23" s="955">
        <f>'XM.FILE GOC'!Z23</f>
        <v>3.7799286805909325</v>
      </c>
      <c r="AB23" s="951" t="s">
        <v>10</v>
      </c>
      <c r="AC23" s="1572"/>
      <c r="AD23" s="910" t="str">
        <f t="shared" si="2"/>
        <v/>
      </c>
      <c r="AE23" s="935" t="str">
        <f>IF(AC23="","",('XM.FILE GOC'!$G$23-AC23)*530/65%)</f>
        <v/>
      </c>
      <c r="AF23" s="2895" t="str">
        <f>IF(AE23="","","L")</f>
        <v/>
      </c>
      <c r="AG23" s="80" t="s">
        <v>44</v>
      </c>
    </row>
    <row r="24" spans="1:33" ht="48" customHeight="1">
      <c r="A24" s="2173"/>
      <c r="B24" s="3143" t="s">
        <v>73</v>
      </c>
      <c r="C24" s="3144"/>
      <c r="D24" s="3144"/>
      <c r="E24" s="3145"/>
      <c r="F24" s="2164" t="s">
        <v>3</v>
      </c>
      <c r="G24" s="1005" t="str">
        <f>'XM.GUI MAIL'!$E$24</f>
        <v>5~10</v>
      </c>
      <c r="H24" s="2203" t="str">
        <f>'XM.GUI MAIL'!$F$24</f>
        <v>(7.5±1)</v>
      </c>
      <c r="I24" s="2200">
        <f>'XM.FILE GOC'!I24</f>
        <v>0</v>
      </c>
      <c r="J24" s="17" t="s">
        <v>8</v>
      </c>
      <c r="K24" s="26">
        <f>'XM.FILE GOC'!L24</f>
        <v>45.39473684210526</v>
      </c>
      <c r="L24" s="18" t="s">
        <v>10</v>
      </c>
      <c r="M24" s="2236"/>
      <c r="N24" s="910" t="str">
        <f t="shared" si="0"/>
        <v/>
      </c>
      <c r="O24" s="1584" t="str">
        <f>IF(M24="","",('XM.FILE GOC'!$G$24-M24)*575/95*1.13)</f>
        <v/>
      </c>
      <c r="P24" s="2895" t="str">
        <f>IF(O24="","","L")</f>
        <v/>
      </c>
      <c r="Q24" s="1833">
        <f>'XM.FILE GOC'!P24</f>
        <v>7.6923076923076916</v>
      </c>
      <c r="R24" s="949" t="s">
        <v>8</v>
      </c>
      <c r="S24" s="950">
        <f>'XM.FILE GOC'!S24</f>
        <v>0</v>
      </c>
      <c r="T24" s="951" t="s">
        <v>10</v>
      </c>
      <c r="U24" s="2236"/>
      <c r="V24" s="910" t="str">
        <f t="shared" si="1"/>
        <v/>
      </c>
      <c r="W24" s="1584" t="str">
        <f>IF(U24="","",('XM.FILE GOC'!$G$24-U24)*575/95*1.13)</f>
        <v/>
      </c>
      <c r="X24" s="2895" t="str">
        <f>IF(W24="","","L")</f>
        <v/>
      </c>
      <c r="Y24" s="1833">
        <f>'XM.FILE GOC'!W24</f>
        <v>7.6923076923076916</v>
      </c>
      <c r="Z24" s="949" t="s">
        <v>8</v>
      </c>
      <c r="AA24" s="950">
        <f>'XM.FILE GOC'!Z24</f>
        <v>0</v>
      </c>
      <c r="AB24" s="951" t="s">
        <v>10</v>
      </c>
      <c r="AC24" s="2236"/>
      <c r="AD24" s="910" t="str">
        <f t="shared" si="2"/>
        <v/>
      </c>
      <c r="AE24" s="1584" t="str">
        <f>IF(AC24="","",('XM.FILE GOC'!$G$24-AC24)*575/95*1.13)</f>
        <v/>
      </c>
      <c r="AF24" s="2895" t="str">
        <f>IF(AE24="","","L")</f>
        <v/>
      </c>
      <c r="AG24" s="2169" t="s">
        <v>1521</v>
      </c>
    </row>
    <row r="25" spans="1:33" ht="48" customHeight="1">
      <c r="A25" s="2173"/>
      <c r="B25" s="3146"/>
      <c r="C25" s="3147"/>
      <c r="D25" s="3147"/>
      <c r="E25" s="3148"/>
      <c r="F25" s="2164" t="s">
        <v>5</v>
      </c>
      <c r="G25" s="1005" t="str">
        <f>'XM.GUI MAIL'!$E$25</f>
        <v>2.0~2.4</v>
      </c>
      <c r="H25" s="2203" t="str">
        <f>'XM.GUI MAIL'!$F$25</f>
        <v>(2.2±0.1)</v>
      </c>
      <c r="I25" s="2176">
        <f>'XM.FILE GOC'!I25</f>
        <v>0</v>
      </c>
      <c r="J25" s="5"/>
      <c r="K25" s="26"/>
      <c r="L25" s="6"/>
      <c r="M25" s="907"/>
      <c r="N25" s="910"/>
      <c r="O25" s="1584"/>
      <c r="P25" s="911"/>
      <c r="Q25" s="2176">
        <f>'XM.FILE GOC'!P25</f>
        <v>2.2799999999999998</v>
      </c>
      <c r="R25" s="953"/>
      <c r="S25" s="950"/>
      <c r="T25" s="954"/>
      <c r="U25" s="907"/>
      <c r="V25" s="910"/>
      <c r="W25" s="1584"/>
      <c r="X25" s="911"/>
      <c r="Y25" s="2176">
        <f>'XM.FILE GOC'!W25</f>
        <v>2.2599999999999998</v>
      </c>
      <c r="Z25" s="949"/>
      <c r="AA25" s="955"/>
      <c r="AB25" s="951"/>
      <c r="AC25" s="915"/>
      <c r="AD25" s="910"/>
      <c r="AE25" s="1585"/>
      <c r="AF25" s="916"/>
      <c r="AG25" s="2169" t="s">
        <v>1522</v>
      </c>
    </row>
    <row r="26" spans="1:33" ht="48" customHeight="1">
      <c r="B26" s="2401" t="s">
        <v>72</v>
      </c>
      <c r="C26" s="2402"/>
      <c r="D26" s="2402"/>
      <c r="E26" s="2402"/>
      <c r="F26" s="2402"/>
      <c r="G26" s="2402"/>
      <c r="H26" s="2402"/>
      <c r="I26" s="2402"/>
      <c r="J26" s="2402"/>
      <c r="K26" s="2402"/>
      <c r="L26" s="2402"/>
      <c r="M26" s="2402"/>
      <c r="N26" s="2402"/>
      <c r="O26" s="2402"/>
      <c r="P26" s="2402"/>
      <c r="Q26" s="2402"/>
      <c r="R26" s="2402"/>
      <c r="S26" s="2402"/>
      <c r="T26" s="2402"/>
      <c r="U26" s="2402"/>
      <c r="V26" s="2402"/>
      <c r="W26" s="2402"/>
      <c r="X26" s="2402"/>
      <c r="Y26" s="2402"/>
      <c r="Z26" s="2402"/>
      <c r="AA26" s="2402"/>
      <c r="AB26" s="2402"/>
      <c r="AC26" s="2402"/>
      <c r="AD26" s="2402"/>
      <c r="AE26" s="2402"/>
      <c r="AF26" s="2402"/>
      <c r="AG26" s="2403"/>
    </row>
    <row r="27" spans="1:33" ht="48" customHeight="1">
      <c r="A27" s="957" t="s">
        <v>7</v>
      </c>
      <c r="B27" s="3134" t="s">
        <v>60</v>
      </c>
      <c r="C27" s="3135"/>
      <c r="D27" s="3135"/>
      <c r="E27" s="3136"/>
      <c r="F27" s="247" t="s">
        <v>62</v>
      </c>
      <c r="G27" s="2188" t="s">
        <v>1296</v>
      </c>
      <c r="H27" s="2204" t="s">
        <v>1289</v>
      </c>
      <c r="I27" s="3192" t="s">
        <v>45</v>
      </c>
      <c r="J27" s="3122"/>
      <c r="K27" s="3122" t="s">
        <v>61</v>
      </c>
      <c r="L27" s="3190"/>
      <c r="M27" s="917"/>
      <c r="N27" s="918"/>
      <c r="O27" s="918"/>
      <c r="P27" s="919"/>
      <c r="Q27" s="3189" t="s">
        <v>45</v>
      </c>
      <c r="R27" s="3176"/>
      <c r="S27" s="3176" t="s">
        <v>61</v>
      </c>
      <c r="T27" s="3176"/>
      <c r="U27" s="917"/>
      <c r="V27" s="918"/>
      <c r="W27" s="918"/>
      <c r="X27" s="919"/>
      <c r="Y27" s="3176" t="s">
        <v>45</v>
      </c>
      <c r="Z27" s="3176"/>
      <c r="AA27" s="3176" t="s">
        <v>61</v>
      </c>
      <c r="AB27" s="3176"/>
      <c r="AC27" s="917"/>
      <c r="AD27" s="918"/>
      <c r="AE27" s="918"/>
      <c r="AF27" s="919"/>
      <c r="AG27" s="79"/>
    </row>
    <row r="28" spans="1:33" ht="48" customHeight="1">
      <c r="A28" s="957">
        <v>1</v>
      </c>
      <c r="B28" s="3134" t="s">
        <v>64</v>
      </c>
      <c r="C28" s="3135"/>
      <c r="D28" s="3135"/>
      <c r="E28" s="3136"/>
      <c r="F28" s="246" t="s">
        <v>194</v>
      </c>
      <c r="G28" s="897" t="str">
        <f>'XM.FILE GOC'!$E$28</f>
        <v>50~70</v>
      </c>
      <c r="H28" s="2202" t="str">
        <f>'XM.FILE GOC'!$F$28</f>
        <v>(60±5)</v>
      </c>
      <c r="I28" s="3195">
        <f>'XM.FILE GOC'!I28</f>
        <v>0</v>
      </c>
      <c r="J28" s="3121"/>
      <c r="K28" s="3121">
        <f>'XM.FILE GOC'!L28</f>
        <v>0</v>
      </c>
      <c r="L28" s="3121"/>
      <c r="M28" s="920"/>
      <c r="N28" s="921"/>
      <c r="O28" s="921"/>
      <c r="P28" s="922"/>
      <c r="Q28" s="3121">
        <f>'XM.FILE GOC'!P28</f>
        <v>62</v>
      </c>
      <c r="R28" s="3121"/>
      <c r="S28" s="3121">
        <f>'XM.FILE GOC'!S28</f>
        <v>63</v>
      </c>
      <c r="T28" s="3121"/>
      <c r="U28" s="920"/>
      <c r="V28" s="921"/>
      <c r="W28" s="921"/>
      <c r="X28" s="922"/>
      <c r="Y28" s="3121">
        <f>'XM.FILE GOC'!W28</f>
        <v>62</v>
      </c>
      <c r="Z28" s="3121"/>
      <c r="AA28" s="3121">
        <f>'XM.FILE GOC'!Z28</f>
        <v>62</v>
      </c>
      <c r="AB28" s="3121"/>
      <c r="AC28" s="920"/>
      <c r="AD28" s="921"/>
      <c r="AE28" s="921"/>
      <c r="AF28" s="922"/>
      <c r="AG28" s="80"/>
    </row>
    <row r="29" spans="1:33" ht="48" customHeight="1">
      <c r="A29" s="957">
        <v>2</v>
      </c>
      <c r="B29" s="3134" t="s">
        <v>65</v>
      </c>
      <c r="C29" s="3135" t="s">
        <v>65</v>
      </c>
      <c r="D29" s="3135" t="s">
        <v>65</v>
      </c>
      <c r="E29" s="3136" t="s">
        <v>65</v>
      </c>
      <c r="F29" s="246" t="s">
        <v>194</v>
      </c>
      <c r="G29" s="897" t="str">
        <f>'XM.FILE GOC'!$E$29</f>
        <v>50~70</v>
      </c>
      <c r="H29" s="2202" t="str">
        <f>'XM.FILE GOC'!$F$29</f>
        <v>(60±5)</v>
      </c>
      <c r="I29" s="3195">
        <f>'XM.FILE GOC'!I29</f>
        <v>0</v>
      </c>
      <c r="J29" s="3121"/>
      <c r="K29" s="3121">
        <f>'XM.FILE GOC'!L29</f>
        <v>0</v>
      </c>
      <c r="L29" s="3121"/>
      <c r="M29" s="920"/>
      <c r="N29" s="921"/>
      <c r="O29" s="921"/>
      <c r="P29" s="922"/>
      <c r="Q29" s="3121">
        <f>'XM.FILE GOC'!P29</f>
        <v>60</v>
      </c>
      <c r="R29" s="3121"/>
      <c r="S29" s="3121">
        <f>'XM.FILE GOC'!S29</f>
        <v>60</v>
      </c>
      <c r="T29" s="3121"/>
      <c r="U29" s="920"/>
      <c r="V29" s="921"/>
      <c r="W29" s="921"/>
      <c r="X29" s="922"/>
      <c r="Y29" s="3121">
        <f>'XM.FILE GOC'!W29</f>
        <v>60</v>
      </c>
      <c r="Z29" s="3121"/>
      <c r="AA29" s="3121">
        <f>'XM.FILE GOC'!Z29</f>
        <v>60</v>
      </c>
      <c r="AB29" s="3121"/>
      <c r="AC29" s="920"/>
      <c r="AD29" s="921"/>
      <c r="AE29" s="921"/>
      <c r="AF29" s="922"/>
      <c r="AG29" s="80"/>
    </row>
    <row r="30" spans="1:33" ht="48" customHeight="1">
      <c r="A30" s="957">
        <v>3</v>
      </c>
      <c r="B30" s="3134" t="s">
        <v>67</v>
      </c>
      <c r="C30" s="3135" t="s">
        <v>67</v>
      </c>
      <c r="D30" s="3135" t="s">
        <v>67</v>
      </c>
      <c r="E30" s="3136" t="s">
        <v>67</v>
      </c>
      <c r="F30" s="246" t="s">
        <v>194</v>
      </c>
      <c r="G30" s="897" t="str">
        <f>'XM.FILE GOC'!$E$30</f>
        <v>40~60</v>
      </c>
      <c r="H30" s="2202" t="str">
        <f>'XM.FILE GOC'!$F$30</f>
        <v>(50±5)</v>
      </c>
      <c r="I30" s="3096">
        <f>'XM.FILE GOC'!I30</f>
        <v>0</v>
      </c>
      <c r="J30" s="3086"/>
      <c r="K30" s="3095">
        <f>'XM.FILE GOC'!L30</f>
        <v>0</v>
      </c>
      <c r="L30" s="3086"/>
      <c r="M30" s="920"/>
      <c r="N30" s="921"/>
      <c r="O30" s="921"/>
      <c r="P30" s="922"/>
      <c r="Q30" s="3095">
        <f>'XM.FILE GOC'!P30</f>
        <v>53</v>
      </c>
      <c r="R30" s="3086"/>
      <c r="S30" s="3095">
        <f>'XM.FILE GOC'!S30</f>
        <v>52</v>
      </c>
      <c r="T30" s="3086"/>
      <c r="U30" s="920"/>
      <c r="V30" s="921"/>
      <c r="W30" s="921"/>
      <c r="X30" s="922"/>
      <c r="Y30" s="3095">
        <f>'XM.FILE GOC'!W30</f>
        <v>53</v>
      </c>
      <c r="Z30" s="3086"/>
      <c r="AA30" s="3095">
        <f>'XM.FILE GOC'!Z30</f>
        <v>53</v>
      </c>
      <c r="AB30" s="3086"/>
      <c r="AC30" s="920"/>
      <c r="AD30" s="921"/>
      <c r="AE30" s="921"/>
      <c r="AF30" s="922"/>
      <c r="AG30" s="80"/>
    </row>
    <row r="31" spans="1:33" ht="48" customHeight="1">
      <c r="A31" s="957">
        <v>4</v>
      </c>
      <c r="B31" s="3134" t="s">
        <v>66</v>
      </c>
      <c r="C31" s="3135" t="s">
        <v>66</v>
      </c>
      <c r="D31" s="3135" t="s">
        <v>66</v>
      </c>
      <c r="E31" s="3136" t="s">
        <v>66</v>
      </c>
      <c r="F31" s="246" t="s">
        <v>194</v>
      </c>
      <c r="G31" s="897" t="str">
        <f>'XM.FILE GOC'!$E$31</f>
        <v>40~60</v>
      </c>
      <c r="H31" s="2202" t="str">
        <f>'XM.FILE GOC'!$F$31</f>
        <v>(50±5)</v>
      </c>
      <c r="I31" s="3096">
        <f>'XM.FILE GOC'!I31</f>
        <v>0</v>
      </c>
      <c r="J31" s="3086"/>
      <c r="K31" s="3095">
        <f>'XM.FILE GOC'!L31</f>
        <v>0</v>
      </c>
      <c r="L31" s="3086"/>
      <c r="M31" s="920"/>
      <c r="N31" s="921"/>
      <c r="O31" s="921"/>
      <c r="P31" s="922"/>
      <c r="Q31" s="3095">
        <f>'XM.FILE GOC'!P31</f>
        <v>55</v>
      </c>
      <c r="R31" s="3086"/>
      <c r="S31" s="3095">
        <f>'XM.FILE GOC'!S31</f>
        <v>54</v>
      </c>
      <c r="T31" s="3086"/>
      <c r="U31" s="920"/>
      <c r="V31" s="921"/>
      <c r="W31" s="921"/>
      <c r="X31" s="922"/>
      <c r="Y31" s="3095">
        <f>'XM.FILE GOC'!W31</f>
        <v>54</v>
      </c>
      <c r="Z31" s="3086"/>
      <c r="AA31" s="3095">
        <f>'XM.FILE GOC'!Z31</f>
        <v>54</v>
      </c>
      <c r="AB31" s="3086"/>
      <c r="AC31" s="920"/>
      <c r="AD31" s="921"/>
      <c r="AE31" s="921"/>
      <c r="AF31" s="922"/>
      <c r="AG31" s="80"/>
    </row>
    <row r="32" spans="1:33" ht="48" customHeight="1">
      <c r="A32" s="957">
        <v>5</v>
      </c>
      <c r="B32" s="3134" t="s">
        <v>68</v>
      </c>
      <c r="C32" s="3135" t="s">
        <v>68</v>
      </c>
      <c r="D32" s="3135" t="s">
        <v>68</v>
      </c>
      <c r="E32" s="3136" t="s">
        <v>68</v>
      </c>
      <c r="F32" s="246" t="s">
        <v>194</v>
      </c>
      <c r="G32" s="897" t="str">
        <f>'XM.FILE GOC'!$E$32</f>
        <v>20~35</v>
      </c>
      <c r="H32" s="2202" t="str">
        <f>'XM.FILE GOC'!$F$32</f>
        <v>(30±4)</v>
      </c>
      <c r="I32" s="3195">
        <f>'XM.FILE GOC'!I32</f>
        <v>0</v>
      </c>
      <c r="J32" s="3121"/>
      <c r="K32" s="3121">
        <f>'XM.FILE GOC'!L32</f>
        <v>0</v>
      </c>
      <c r="L32" s="3121"/>
      <c r="M32" s="920"/>
      <c r="N32" s="921"/>
      <c r="O32" s="921"/>
      <c r="P32" s="922"/>
      <c r="Q32" s="3121">
        <f>'XM.FILE GOC'!P32</f>
        <v>28</v>
      </c>
      <c r="R32" s="3121"/>
      <c r="S32" s="3121">
        <f>'XM.FILE GOC'!S32</f>
        <v>27</v>
      </c>
      <c r="T32" s="3121"/>
      <c r="U32" s="920"/>
      <c r="V32" s="921"/>
      <c r="W32" s="921"/>
      <c r="X32" s="922"/>
      <c r="Y32" s="3121">
        <f>'XM.FILE GOC'!W32</f>
        <v>26</v>
      </c>
      <c r="Z32" s="3121"/>
      <c r="AA32" s="3121">
        <f>'XM.FILE GOC'!Z32</f>
        <v>26</v>
      </c>
      <c r="AB32" s="3121"/>
      <c r="AC32" s="920"/>
      <c r="AD32" s="921"/>
      <c r="AE32" s="921"/>
      <c r="AF32" s="922"/>
      <c r="AG32" s="80"/>
    </row>
    <row r="33" spans="1:33" ht="48" customHeight="1">
      <c r="A33" s="957">
        <v>6</v>
      </c>
      <c r="B33" s="3134" t="s">
        <v>938</v>
      </c>
      <c r="C33" s="3135" t="s">
        <v>938</v>
      </c>
      <c r="D33" s="3135" t="s">
        <v>938</v>
      </c>
      <c r="E33" s="3136" t="s">
        <v>938</v>
      </c>
      <c r="F33" s="246" t="s">
        <v>194</v>
      </c>
      <c r="G33" s="897" t="str">
        <f>'XM.FILE GOC'!$E$33</f>
        <v>30~40</v>
      </c>
      <c r="H33" s="2202" t="str">
        <f>'XM.FILE GOC'!$F$33</f>
        <v>(34±3)</v>
      </c>
      <c r="I33" s="3195">
        <f>'XM.FILE GOC'!I33</f>
        <v>0</v>
      </c>
      <c r="J33" s="3121"/>
      <c r="K33" s="3121">
        <f>'XM.FILE GOC'!L33</f>
        <v>0</v>
      </c>
      <c r="L33" s="3121"/>
      <c r="M33" s="920"/>
      <c r="N33" s="921"/>
      <c r="O33" s="921"/>
      <c r="P33" s="922"/>
      <c r="Q33" s="3121">
        <f>'XM.FILE GOC'!P33</f>
        <v>33</v>
      </c>
      <c r="R33" s="3121"/>
      <c r="S33" s="3121">
        <f>'XM.FILE GOC'!S33</f>
        <v>32</v>
      </c>
      <c r="T33" s="3121"/>
      <c r="U33" s="920"/>
      <c r="V33" s="921"/>
      <c r="W33" s="921"/>
      <c r="X33" s="922"/>
      <c r="Y33" s="3121">
        <f>'XM.FILE GOC'!W33</f>
        <v>37</v>
      </c>
      <c r="Z33" s="3121"/>
      <c r="AA33" s="3121">
        <f>'XM.FILE GOC'!Z33</f>
        <v>37</v>
      </c>
      <c r="AB33" s="3121"/>
      <c r="AC33" s="920"/>
      <c r="AD33" s="921"/>
      <c r="AE33" s="921"/>
      <c r="AF33" s="922"/>
      <c r="AG33" s="80"/>
    </row>
    <row r="34" spans="1:33" ht="48" customHeight="1">
      <c r="A34" s="957">
        <v>7</v>
      </c>
      <c r="B34" s="3134" t="s">
        <v>69</v>
      </c>
      <c r="C34" s="3135" t="s">
        <v>69</v>
      </c>
      <c r="D34" s="3135" t="s">
        <v>69</v>
      </c>
      <c r="E34" s="3136" t="s">
        <v>69</v>
      </c>
      <c r="F34" s="246" t="s">
        <v>194</v>
      </c>
      <c r="G34" s="897" t="str">
        <f>'XM.FILE GOC'!$E$34</f>
        <v>50~70</v>
      </c>
      <c r="H34" s="2202" t="str">
        <f>'XM.FILE GOC'!$F$34</f>
        <v>(60±10)</v>
      </c>
      <c r="I34" s="3195">
        <f>'XM.FILE GOC'!I34</f>
        <v>0</v>
      </c>
      <c r="J34" s="3121"/>
      <c r="K34" s="3121">
        <f>'XM.FILE GOC'!L34</f>
        <v>0</v>
      </c>
      <c r="L34" s="3121"/>
      <c r="M34" s="920"/>
      <c r="N34" s="921"/>
      <c r="O34" s="921"/>
      <c r="P34" s="922"/>
      <c r="Q34" s="3121">
        <f>'XM.FILE GOC'!P34</f>
        <v>44</v>
      </c>
      <c r="R34" s="3121"/>
      <c r="S34" s="3121">
        <f>'XM.FILE GOC'!S34</f>
        <v>43</v>
      </c>
      <c r="T34" s="3121"/>
      <c r="U34" s="920"/>
      <c r="V34" s="921"/>
      <c r="W34" s="921"/>
      <c r="X34" s="922"/>
      <c r="Y34" s="3121">
        <f>'XM.FILE GOC'!W34</f>
        <v>61</v>
      </c>
      <c r="Z34" s="3121"/>
      <c r="AA34" s="3121">
        <f>'XM.FILE GOC'!Z34</f>
        <v>61</v>
      </c>
      <c r="AB34" s="3121"/>
      <c r="AC34" s="920"/>
      <c r="AD34" s="921"/>
      <c r="AE34" s="921"/>
      <c r="AF34" s="922"/>
      <c r="AG34" s="80"/>
    </row>
    <row r="35" spans="1:33" ht="48" customHeight="1">
      <c r="A35" s="957">
        <v>8</v>
      </c>
      <c r="B35" s="3140" t="s">
        <v>70</v>
      </c>
      <c r="C35" s="3141" t="s">
        <v>70</v>
      </c>
      <c r="D35" s="3141" t="s">
        <v>70</v>
      </c>
      <c r="E35" s="3142" t="s">
        <v>70</v>
      </c>
      <c r="F35" s="246" t="s">
        <v>194</v>
      </c>
      <c r="G35" s="897" t="str">
        <f>'XM.FILE GOC'!$E$35</f>
        <v>80~100</v>
      </c>
      <c r="H35" s="2202" t="str">
        <f>'XM.FILE GOC'!$F$35</f>
        <v>(90±5)</v>
      </c>
      <c r="I35" s="3192" t="str">
        <f>'XM.FILE GOC'!I35</f>
        <v>\</v>
      </c>
      <c r="J35" s="3122"/>
      <c r="K35" s="3121">
        <f>'XM.FILE GOC'!L35</f>
        <v>0</v>
      </c>
      <c r="L35" s="3121"/>
      <c r="M35" s="923"/>
      <c r="N35" s="924"/>
      <c r="O35" s="924"/>
      <c r="P35" s="925"/>
      <c r="Q35" s="3122" t="str">
        <f>'XM.FILE GOC'!P35</f>
        <v>\</v>
      </c>
      <c r="R35" s="3122"/>
      <c r="S35" s="3121" t="str">
        <f>'XM.FILE GOC'!S35</f>
        <v>chưa mở</v>
      </c>
      <c r="T35" s="3121"/>
      <c r="U35" s="923"/>
      <c r="V35" s="924"/>
      <c r="W35" s="924"/>
      <c r="X35" s="925"/>
      <c r="Y35" s="3122" t="str">
        <f>'XM.FILE GOC'!W35</f>
        <v>\</v>
      </c>
      <c r="Z35" s="3122"/>
      <c r="AA35" s="3121" t="str">
        <f>'XM.FILE GOC'!Z35</f>
        <v>chưa mở</v>
      </c>
      <c r="AB35" s="3121"/>
      <c r="AC35" s="923"/>
      <c r="AD35" s="924"/>
      <c r="AE35" s="924"/>
      <c r="AF35" s="925"/>
      <c r="AG35" s="80"/>
    </row>
    <row r="36" spans="1:33" ht="41.25" customHeight="1">
      <c r="B36" s="2401" t="s">
        <v>195</v>
      </c>
      <c r="C36" s="2402"/>
      <c r="D36" s="2402"/>
      <c r="E36" s="2402"/>
      <c r="F36" s="2402"/>
      <c r="G36" s="2402"/>
      <c r="H36" s="2402"/>
      <c r="I36" s="2402"/>
      <c r="J36" s="2402"/>
      <c r="K36" s="2402"/>
      <c r="L36" s="2402"/>
      <c r="M36" s="2402"/>
      <c r="N36" s="2402"/>
      <c r="O36" s="2402"/>
      <c r="P36" s="2402"/>
      <c r="Q36" s="2402"/>
      <c r="R36" s="2402"/>
      <c r="S36" s="2402"/>
      <c r="T36" s="2402"/>
      <c r="U36" s="2402"/>
      <c r="V36" s="2402"/>
      <c r="W36" s="2402"/>
      <c r="X36" s="2402"/>
      <c r="Y36" s="2402"/>
      <c r="Z36" s="2402"/>
      <c r="AA36" s="2402"/>
      <c r="AB36" s="2402"/>
      <c r="AC36" s="2402"/>
      <c r="AD36" s="2402"/>
      <c r="AE36" s="2402"/>
      <c r="AF36" s="2403"/>
      <c r="AG36" s="2401"/>
    </row>
    <row r="37" spans="1:33" ht="52.5" customHeight="1">
      <c r="A37" s="957" t="s">
        <v>7</v>
      </c>
      <c r="B37" s="3134" t="s">
        <v>91</v>
      </c>
      <c r="C37" s="3135"/>
      <c r="D37" s="3135"/>
      <c r="E37" s="3136"/>
      <c r="F37" s="577" t="s">
        <v>92</v>
      </c>
      <c r="G37" s="975" t="s">
        <v>1296</v>
      </c>
      <c r="H37" s="2204" t="s">
        <v>1289</v>
      </c>
      <c r="I37" s="3191" t="s">
        <v>110</v>
      </c>
      <c r="J37" s="3191"/>
      <c r="K37" s="3191"/>
      <c r="L37" s="3191"/>
      <c r="M37" s="917"/>
      <c r="N37" s="918"/>
      <c r="O37" s="918"/>
      <c r="P37" s="919"/>
      <c r="Q37" s="3188" t="s">
        <v>110</v>
      </c>
      <c r="R37" s="3188"/>
      <c r="S37" s="3188"/>
      <c r="T37" s="3189"/>
      <c r="U37" s="917"/>
      <c r="V37" s="918"/>
      <c r="W37" s="918"/>
      <c r="X37" s="919"/>
      <c r="Y37" s="3187" t="s">
        <v>110</v>
      </c>
      <c r="Z37" s="3188"/>
      <c r="AA37" s="3188"/>
      <c r="AB37" s="3189"/>
      <c r="AC37" s="917"/>
      <c r="AD37" s="918"/>
      <c r="AE37" s="918"/>
      <c r="AF37" s="919"/>
      <c r="AG37" s="79"/>
    </row>
    <row r="38" spans="1:33" ht="56.25" customHeight="1">
      <c r="A38" s="957">
        <v>1</v>
      </c>
      <c r="B38" s="3137" t="s">
        <v>1570</v>
      </c>
      <c r="C38" s="3138"/>
      <c r="D38" s="3138"/>
      <c r="E38" s="3139"/>
      <c r="F38" s="2856" t="s">
        <v>1641</v>
      </c>
      <c r="G38" s="897" t="str">
        <f>'XM.FILE GOC'!$E$37</f>
        <v>300-360</v>
      </c>
      <c r="H38" s="2202" t="str">
        <f>'XM.FILE GOC'!$F$37</f>
        <v>300-360</v>
      </c>
      <c r="I38" s="3100">
        <f>'XM.FILE GOC'!I37</f>
        <v>0</v>
      </c>
      <c r="J38" s="3184"/>
      <c r="K38" s="3184"/>
      <c r="L38" s="3098"/>
      <c r="M38" s="926"/>
      <c r="N38" s="904"/>
      <c r="O38" s="904"/>
      <c r="P38" s="927"/>
      <c r="Q38" s="3182">
        <f>'XM.FILE GOC'!P37</f>
        <v>0</v>
      </c>
      <c r="R38" s="3183"/>
      <c r="S38" s="3183"/>
      <c r="T38" s="3183"/>
      <c r="U38" s="926"/>
      <c r="V38" s="904"/>
      <c r="W38" s="904"/>
      <c r="X38" s="927"/>
      <c r="Y38" s="3183">
        <f>'XM.FILE GOC'!W37</f>
        <v>0</v>
      </c>
      <c r="Z38" s="3183"/>
      <c r="AA38" s="3183"/>
      <c r="AB38" s="3183"/>
      <c r="AC38" s="926"/>
      <c r="AD38" s="904"/>
      <c r="AE38" s="904"/>
      <c r="AF38" s="927"/>
      <c r="AG38" s="80"/>
    </row>
    <row r="39" spans="1:33" ht="56.25" customHeight="1">
      <c r="A39" s="957">
        <v>2</v>
      </c>
      <c r="B39" s="3137" t="s">
        <v>1568</v>
      </c>
      <c r="C39" s="3138"/>
      <c r="D39" s="3138"/>
      <c r="E39" s="3139"/>
      <c r="F39" s="2856" t="s">
        <v>1641</v>
      </c>
      <c r="G39" s="897" t="str">
        <f>'XM.FILE GOC'!$E$38</f>
        <v>30-50</v>
      </c>
      <c r="H39" s="2202" t="str">
        <f>'XM.FILE GOC'!$F$38</f>
        <v>30-50</v>
      </c>
      <c r="I39" s="3100">
        <f>'XM.FILE GOC'!I38</f>
        <v>0</v>
      </c>
      <c r="J39" s="3184"/>
      <c r="K39" s="3184"/>
      <c r="L39" s="3098"/>
      <c r="M39" s="928"/>
      <c r="N39" s="929"/>
      <c r="O39" s="929"/>
      <c r="P39" s="930"/>
      <c r="Q39" s="3182">
        <f>'XM.FILE GOC'!P38</f>
        <v>0</v>
      </c>
      <c r="R39" s="3183"/>
      <c r="S39" s="3183"/>
      <c r="T39" s="3183"/>
      <c r="U39" s="928"/>
      <c r="V39" s="929"/>
      <c r="W39" s="929"/>
      <c r="X39" s="930"/>
      <c r="Y39" s="3183">
        <f>'XM.FILE GOC'!W38</f>
        <v>0</v>
      </c>
      <c r="Z39" s="3183"/>
      <c r="AA39" s="3183"/>
      <c r="AB39" s="3183"/>
      <c r="AC39" s="928"/>
      <c r="AD39" s="929"/>
      <c r="AE39" s="929"/>
      <c r="AF39" s="930"/>
      <c r="AG39" s="80"/>
    </row>
    <row r="40" spans="1:33" ht="34.5" customHeight="1">
      <c r="A40" s="2238"/>
      <c r="B40" s="2239"/>
      <c r="C40" s="2239"/>
      <c r="D40" s="2239"/>
      <c r="E40" s="2239"/>
      <c r="F40" s="2239"/>
      <c r="G40" s="2239"/>
      <c r="H40" s="2239"/>
      <c r="I40" s="2239"/>
      <c r="J40" s="2239"/>
      <c r="K40" s="2239"/>
      <c r="L40" s="2239"/>
      <c r="M40" s="2239"/>
      <c r="N40" s="2239"/>
      <c r="O40" s="2239"/>
      <c r="P40" s="2239"/>
      <c r="Q40" s="2239"/>
      <c r="R40" s="2239"/>
      <c r="S40" s="2239"/>
      <c r="T40" s="2239"/>
      <c r="U40" s="2239"/>
      <c r="V40" s="2239"/>
      <c r="W40" s="2239"/>
      <c r="X40" s="2239"/>
      <c r="Y40" s="2239"/>
      <c r="Z40" s="2239"/>
      <c r="AA40" s="2239"/>
      <c r="AB40" s="2239"/>
      <c r="AC40" s="2239"/>
      <c r="AD40" s="2239"/>
      <c r="AE40" s="2239"/>
      <c r="AF40" s="2239"/>
      <c r="AG40" s="2239"/>
    </row>
    <row r="41" spans="1:33" ht="40.5" customHeight="1">
      <c r="B41" s="2404" t="s">
        <v>129</v>
      </c>
      <c r="C41" s="2404"/>
      <c r="D41" s="2404"/>
      <c r="E41" s="2404"/>
      <c r="F41" s="2404"/>
      <c r="G41" s="2404"/>
      <c r="H41" s="2404"/>
      <c r="I41" s="2404"/>
      <c r="J41" s="2404"/>
      <c r="K41" s="2404"/>
      <c r="L41" s="2404"/>
      <c r="M41" s="2404"/>
      <c r="N41" s="2404"/>
      <c r="O41" s="2404"/>
      <c r="P41" s="2404"/>
      <c r="Q41" s="2404"/>
      <c r="R41" s="2404"/>
      <c r="S41" s="2404"/>
      <c r="T41" s="2404"/>
      <c r="U41" s="2404"/>
      <c r="V41" s="2404"/>
      <c r="W41" s="2404"/>
      <c r="X41" s="2404"/>
      <c r="Y41" s="2404"/>
      <c r="Z41" s="2404"/>
      <c r="AA41" s="2405"/>
      <c r="AB41" s="2405"/>
      <c r="AC41" s="2406"/>
      <c r="AD41" s="932"/>
      <c r="AE41" s="932"/>
      <c r="AF41" s="932"/>
      <c r="AG41" s="902"/>
    </row>
    <row r="42" spans="1:33" ht="60.75" customHeight="1">
      <c r="B42" s="2407" t="s">
        <v>218</v>
      </c>
      <c r="C42" s="2407"/>
      <c r="D42" s="2407"/>
      <c r="E42" s="2407"/>
      <c r="F42" s="2407"/>
      <c r="G42" s="2407"/>
      <c r="H42" s="2407"/>
      <c r="I42" s="2407"/>
      <c r="J42" s="2407"/>
      <c r="K42" s="2407"/>
      <c r="L42" s="2407"/>
      <c r="M42" s="2407"/>
      <c r="N42" s="2407"/>
      <c r="O42" s="2407"/>
      <c r="P42" s="2407"/>
      <c r="Q42" s="2407"/>
      <c r="R42" s="2407"/>
      <c r="S42" s="2407"/>
      <c r="T42" s="2407"/>
      <c r="U42" s="2407"/>
      <c r="V42" s="2407"/>
      <c r="W42" s="2407"/>
      <c r="X42" s="2407"/>
      <c r="Y42" s="2407"/>
      <c r="Z42" s="2407"/>
      <c r="AA42" s="2407"/>
      <c r="AB42" s="2407"/>
      <c r="AC42" s="2408"/>
      <c r="AD42" s="3128" t="s">
        <v>87</v>
      </c>
      <c r="AE42" s="3128"/>
      <c r="AF42" s="3130" t="s">
        <v>88</v>
      </c>
      <c r="AG42" s="3131"/>
    </row>
    <row r="43" spans="1:33" ht="45" customHeight="1">
      <c r="B43" s="3166" t="s">
        <v>212</v>
      </c>
      <c r="C43" s="3166"/>
      <c r="D43" s="3166"/>
      <c r="E43" s="3166"/>
      <c r="F43" s="1386"/>
      <c r="G43" s="1388" t="s">
        <v>1595</v>
      </c>
      <c r="H43" s="1812" t="str">
        <f>MENU!$AC$9</f>
        <v>Thứ 5,</v>
      </c>
      <c r="I43" s="3196" t="str">
        <f>MENU!$AD$9</f>
        <v>2024/08/01</v>
      </c>
      <c r="J43" s="3197"/>
      <c r="K43" s="3197"/>
      <c r="L43" s="3197"/>
      <c r="M43" s="905"/>
      <c r="N43" s="905"/>
      <c r="O43" s="905"/>
      <c r="P43" s="905"/>
      <c r="Q43" s="947"/>
      <c r="R43" s="947"/>
      <c r="S43" s="947"/>
      <c r="T43" s="947"/>
      <c r="U43" s="905"/>
      <c r="V43" s="905"/>
      <c r="W43" s="905"/>
      <c r="X43" s="905"/>
      <c r="Y43" s="947"/>
      <c r="Z43" s="947"/>
      <c r="AD43" s="3129" t="str">
        <f>MENU!AE7</f>
        <v>Trang</v>
      </c>
      <c r="AE43" s="3129"/>
      <c r="AF43" s="3132" t="s">
        <v>11</v>
      </c>
      <c r="AG43" s="3133"/>
    </row>
    <row r="44" spans="1:33" s="16" customFormat="1" ht="45" customHeight="1">
      <c r="A44" s="3177" t="s">
        <v>7</v>
      </c>
      <c r="B44" s="3151" t="s">
        <v>75</v>
      </c>
      <c r="C44" s="3152"/>
      <c r="D44" s="3152"/>
      <c r="E44" s="3153"/>
      <c r="F44" s="3149" t="s">
        <v>123</v>
      </c>
      <c r="G44" s="3180" t="s">
        <v>1296</v>
      </c>
      <c r="H44" s="3185" t="s">
        <v>1289</v>
      </c>
      <c r="I44" s="3198">
        <v>0.80208333333333337</v>
      </c>
      <c r="J44" s="3199"/>
      <c r="K44" s="3199"/>
      <c r="L44" s="3200"/>
      <c r="M44" s="3123" t="s">
        <v>931</v>
      </c>
      <c r="N44" s="3124"/>
      <c r="O44" s="3124"/>
      <c r="P44" s="3125"/>
      <c r="Q44" s="3167">
        <v>0.96875</v>
      </c>
      <c r="R44" s="3168"/>
      <c r="S44" s="3168"/>
      <c r="T44" s="3169"/>
      <c r="U44" s="3123" t="s">
        <v>931</v>
      </c>
      <c r="V44" s="3124"/>
      <c r="W44" s="3124"/>
      <c r="X44" s="3125"/>
      <c r="Y44" s="3167">
        <v>0.13541666666666666</v>
      </c>
      <c r="Z44" s="3168"/>
      <c r="AA44" s="3168"/>
      <c r="AB44" s="3169"/>
      <c r="AC44" s="3123" t="s">
        <v>934</v>
      </c>
      <c r="AD44" s="3124"/>
      <c r="AE44" s="3124"/>
      <c r="AF44" s="3125"/>
      <c r="AG44" s="81" t="s">
        <v>89</v>
      </c>
    </row>
    <row r="45" spans="1:33" s="16" customFormat="1" ht="45" customHeight="1">
      <c r="A45" s="3179"/>
      <c r="B45" s="3154"/>
      <c r="C45" s="3155"/>
      <c r="D45" s="3155"/>
      <c r="E45" s="3156"/>
      <c r="F45" s="3150"/>
      <c r="G45" s="3181"/>
      <c r="H45" s="3186"/>
      <c r="I45" s="948" t="s">
        <v>128</v>
      </c>
      <c r="J45" s="3170" t="s">
        <v>1</v>
      </c>
      <c r="K45" s="3171"/>
      <c r="L45" s="3172"/>
      <c r="M45" s="906" t="s">
        <v>932</v>
      </c>
      <c r="N45" s="3126" t="s">
        <v>1</v>
      </c>
      <c r="O45" s="3126"/>
      <c r="P45" s="3127"/>
      <c r="Q45" s="948" t="s">
        <v>128</v>
      </c>
      <c r="R45" s="3173" t="s">
        <v>1</v>
      </c>
      <c r="S45" s="3174"/>
      <c r="T45" s="3175"/>
      <c r="U45" s="906" t="s">
        <v>932</v>
      </c>
      <c r="V45" s="3126" t="s">
        <v>1</v>
      </c>
      <c r="W45" s="3126"/>
      <c r="X45" s="3127"/>
      <c r="Y45" s="948" t="s">
        <v>128</v>
      </c>
      <c r="Z45" s="3173" t="s">
        <v>1</v>
      </c>
      <c r="AA45" s="3174"/>
      <c r="AB45" s="3175"/>
      <c r="AC45" s="906" t="s">
        <v>935</v>
      </c>
      <c r="AD45" s="3126" t="s">
        <v>1</v>
      </c>
      <c r="AE45" s="3126"/>
      <c r="AF45" s="3127"/>
      <c r="AG45" s="4" t="s">
        <v>90</v>
      </c>
    </row>
    <row r="46" spans="1:33" ht="48" customHeight="1">
      <c r="A46" s="3177">
        <v>1</v>
      </c>
      <c r="B46" s="3151" t="s">
        <v>130</v>
      </c>
      <c r="C46" s="3157"/>
      <c r="D46" s="3164" t="s">
        <v>99</v>
      </c>
      <c r="E46" s="3165"/>
      <c r="F46" s="46" t="s">
        <v>4</v>
      </c>
      <c r="G46" s="897" t="str">
        <f>'XM.FILE GOC'!$E$6</f>
        <v>20~40</v>
      </c>
      <c r="H46" s="2202" t="str">
        <f>'XM.FILE GOC'!$F$6</f>
        <v>(30±5)</v>
      </c>
      <c r="I46" s="1423">
        <f>'XM.FILE GOC'!AD6</f>
        <v>33.6</v>
      </c>
      <c r="J46" s="17" t="s">
        <v>8</v>
      </c>
      <c r="K46" s="26">
        <f>'XM.FILE GOC'!AG6</f>
        <v>0</v>
      </c>
      <c r="L46" s="18" t="s">
        <v>9</v>
      </c>
      <c r="M46" s="907"/>
      <c r="N46" s="910" t="str">
        <f>IF(M46="","","+")</f>
        <v/>
      </c>
      <c r="O46" s="1584" t="str">
        <f>IF(M46="","",('XM.FILE GOC'!$G$6-M46)*2693/1000)</f>
        <v/>
      </c>
      <c r="P46" s="2895" t="str">
        <f>IF(O46="","","kg")</f>
        <v/>
      </c>
      <c r="Q46" s="1423">
        <f>'XM.FILE GOC'!AK6</f>
        <v>32</v>
      </c>
      <c r="R46" s="949" t="s">
        <v>8</v>
      </c>
      <c r="S46" s="950">
        <f>'XM.FILE GOC'!AN6</f>
        <v>0</v>
      </c>
      <c r="T46" s="951" t="s">
        <v>9</v>
      </c>
      <c r="U46" s="907"/>
      <c r="V46" s="910" t="str">
        <f>IF(U46="","","+")</f>
        <v/>
      </c>
      <c r="W46" s="1584" t="str">
        <f>IF(U46="","",('XM.FILE GOC'!$G$6-U46)*2693/1000)</f>
        <v/>
      </c>
      <c r="X46" s="2895" t="str">
        <f>IF(W46="","","kg")</f>
        <v/>
      </c>
      <c r="Y46" s="1423">
        <f>'XM.FILE GOC'!AR6</f>
        <v>32.799999999999997</v>
      </c>
      <c r="Z46" s="949" t="s">
        <v>8</v>
      </c>
      <c r="AA46" s="950">
        <f>'XM.FILE GOC'!AU6</f>
        <v>0</v>
      </c>
      <c r="AB46" s="951" t="s">
        <v>9</v>
      </c>
      <c r="AC46" s="907"/>
      <c r="AD46" s="910" t="str">
        <f>IF(AC46="","","+")</f>
        <v/>
      </c>
      <c r="AE46" s="1584" t="str">
        <f>IF(AC46="","",('XM.FILE GOC'!$G$6-AC46)*2693/1000)</f>
        <v/>
      </c>
      <c r="AF46" s="2895" t="str">
        <f>IF(AE46="","","kg")</f>
        <v/>
      </c>
      <c r="AG46" s="80" t="s">
        <v>39</v>
      </c>
    </row>
    <row r="47" spans="1:33" ht="48" customHeight="1">
      <c r="A47" s="3178"/>
      <c r="B47" s="3158"/>
      <c r="C47" s="3159"/>
      <c r="D47" s="3134" t="s">
        <v>100</v>
      </c>
      <c r="E47" s="3136"/>
      <c r="F47" s="46" t="s">
        <v>54</v>
      </c>
      <c r="G47" s="897" t="s">
        <v>101</v>
      </c>
      <c r="H47" s="2202"/>
      <c r="I47" s="1676"/>
      <c r="J47" s="54" t="s">
        <v>8</v>
      </c>
      <c r="K47" s="57">
        <f>K46/25*840/1000</f>
        <v>0</v>
      </c>
      <c r="L47" s="56" t="s">
        <v>10</v>
      </c>
      <c r="M47" s="907"/>
      <c r="N47" s="910" t="str">
        <f>IF(M46="","","+")</f>
        <v/>
      </c>
      <c r="O47" s="1586" t="str">
        <f>IF(O46="","",O46/25*840/1000)</f>
        <v/>
      </c>
      <c r="P47" s="2895" t="str">
        <f>IF(O46="","","L")</f>
        <v/>
      </c>
      <c r="Q47" s="1676"/>
      <c r="R47" s="58" t="s">
        <v>8</v>
      </c>
      <c r="S47" s="952">
        <f>S46/25*840/1000</f>
        <v>0</v>
      </c>
      <c r="T47" s="587" t="s">
        <v>10</v>
      </c>
      <c r="U47" s="907"/>
      <c r="V47" s="910" t="str">
        <f>IF(U46="","","+")</f>
        <v/>
      </c>
      <c r="W47" s="1586" t="str">
        <f>IF(W46="","",W46/25*840/1000)</f>
        <v/>
      </c>
      <c r="X47" s="2895" t="str">
        <f>IF(W46="","","L")</f>
        <v/>
      </c>
      <c r="Y47" s="1676"/>
      <c r="Z47" s="58" t="s">
        <v>8</v>
      </c>
      <c r="AA47" s="952">
        <f>AA46/25*840/1000</f>
        <v>0</v>
      </c>
      <c r="AB47" s="587" t="s">
        <v>10</v>
      </c>
      <c r="AC47" s="907"/>
      <c r="AD47" s="910" t="str">
        <f>IF(AC46="","","+")</f>
        <v/>
      </c>
      <c r="AE47" s="1586" t="str">
        <f>IF(AE46="","",AE46/25*840/1000)</f>
        <v/>
      </c>
      <c r="AF47" s="2895" t="str">
        <f>IF(AE46="","","L")</f>
        <v/>
      </c>
      <c r="AG47" s="102"/>
    </row>
    <row r="48" spans="1:33" ht="48" customHeight="1">
      <c r="A48" s="3179"/>
      <c r="B48" s="3160"/>
      <c r="C48" s="3161"/>
      <c r="D48" s="3134" t="s">
        <v>102</v>
      </c>
      <c r="E48" s="3136"/>
      <c r="F48" s="46" t="s">
        <v>54</v>
      </c>
      <c r="G48" s="897" t="s">
        <v>101</v>
      </c>
      <c r="H48" s="2202"/>
      <c r="I48" s="1676"/>
      <c r="J48" s="54" t="s">
        <v>8</v>
      </c>
      <c r="K48" s="57">
        <f>K47*10</f>
        <v>0</v>
      </c>
      <c r="L48" s="56" t="s">
        <v>10</v>
      </c>
      <c r="M48" s="907"/>
      <c r="N48" s="910" t="str">
        <f>IF(M46="","","+")</f>
        <v/>
      </c>
      <c r="O48" s="1586" t="str">
        <f>IF(O46="","",O47*10)</f>
        <v/>
      </c>
      <c r="P48" s="2895" t="str">
        <f>IF(O46="","","L")</f>
        <v/>
      </c>
      <c r="Q48" s="1676"/>
      <c r="R48" s="58" t="s">
        <v>8</v>
      </c>
      <c r="S48" s="952">
        <f>S47*10</f>
        <v>0</v>
      </c>
      <c r="T48" s="587" t="s">
        <v>10</v>
      </c>
      <c r="U48" s="907"/>
      <c r="V48" s="910" t="str">
        <f>IF(U46="","","+")</f>
        <v/>
      </c>
      <c r="W48" s="1586" t="str">
        <f>IF(W46="","",W47*10)</f>
        <v/>
      </c>
      <c r="X48" s="2895" t="str">
        <f>IF(W46="","","L")</f>
        <v/>
      </c>
      <c r="Y48" s="1676"/>
      <c r="Z48" s="58" t="s">
        <v>8</v>
      </c>
      <c r="AA48" s="952">
        <f>AA47*10</f>
        <v>0</v>
      </c>
      <c r="AB48" s="587" t="s">
        <v>10</v>
      </c>
      <c r="AC48" s="907"/>
      <c r="AD48" s="910" t="str">
        <f>IF(AC46="","","+")</f>
        <v/>
      </c>
      <c r="AE48" s="1586" t="str">
        <f>IF(AE46="","",AE47*10)</f>
        <v/>
      </c>
      <c r="AF48" s="2895" t="str">
        <f>IF(AE46="","","L")</f>
        <v/>
      </c>
      <c r="AG48" s="80"/>
    </row>
    <row r="49" spans="1:33" ht="48" customHeight="1">
      <c r="A49" s="3177">
        <v>2</v>
      </c>
      <c r="B49" s="3151" t="s">
        <v>131</v>
      </c>
      <c r="C49" s="3157"/>
      <c r="D49" s="3164" t="s">
        <v>99</v>
      </c>
      <c r="E49" s="3165"/>
      <c r="F49" s="46" t="s">
        <v>4</v>
      </c>
      <c r="G49" s="897" t="str">
        <f>'XM.FILE GOC'!$E$9</f>
        <v>20~40</v>
      </c>
      <c r="H49" s="2202" t="str">
        <f>'XM.FILE GOC'!$F$9</f>
        <v>(30±5)</v>
      </c>
      <c r="I49" s="1423">
        <f>'XM.FILE GOC'!AD9</f>
        <v>31.2</v>
      </c>
      <c r="J49" s="17" t="s">
        <v>8</v>
      </c>
      <c r="K49" s="26">
        <f>'XM.FILE GOC'!AG9</f>
        <v>0</v>
      </c>
      <c r="L49" s="18" t="s">
        <v>9</v>
      </c>
      <c r="M49" s="907"/>
      <c r="N49" s="910" t="str">
        <f t="shared" ref="N49:N64" si="3">IF(M49="","","+")</f>
        <v/>
      </c>
      <c r="O49" s="1584" t="str">
        <f>IF(M49="","",('XM.FILE GOC'!$G$9-M49)*3305/1000)</f>
        <v/>
      </c>
      <c r="P49" s="2895" t="str">
        <f>IF(O49="","","kg")</f>
        <v/>
      </c>
      <c r="Q49" s="1423">
        <f>'XM.FILE GOC'!AK9</f>
        <v>32</v>
      </c>
      <c r="R49" s="949" t="s">
        <v>8</v>
      </c>
      <c r="S49" s="950">
        <f>'XM.FILE GOC'!AN9</f>
        <v>0</v>
      </c>
      <c r="T49" s="951" t="s">
        <v>9</v>
      </c>
      <c r="U49" s="907"/>
      <c r="V49" s="910" t="str">
        <f t="shared" ref="V49:V64" si="4">IF(U49="","","+")</f>
        <v/>
      </c>
      <c r="W49" s="1584" t="str">
        <f>IF(U49="","",('XM.FILE GOC'!$G$9-U49)*3305/1000)</f>
        <v/>
      </c>
      <c r="X49" s="2895" t="str">
        <f>IF(W49="","","kg")</f>
        <v/>
      </c>
      <c r="Y49" s="1423">
        <f>'XM.FILE GOC'!AR9</f>
        <v>32</v>
      </c>
      <c r="Z49" s="949" t="s">
        <v>8</v>
      </c>
      <c r="AA49" s="950">
        <f>'XM.FILE GOC'!AU9</f>
        <v>0</v>
      </c>
      <c r="AB49" s="951" t="s">
        <v>9</v>
      </c>
      <c r="AC49" s="907"/>
      <c r="AD49" s="910" t="str">
        <f t="shared" ref="AD49:AD64" si="5">IF(AC49="","","+")</f>
        <v/>
      </c>
      <c r="AE49" s="1584" t="str">
        <f>IF(AC49="","",('XM.FILE GOC'!$G$9-AC49)*3305/1000)</f>
        <v/>
      </c>
      <c r="AF49" s="2895" t="str">
        <f>IF(AE49="","","kg")</f>
        <v/>
      </c>
      <c r="AG49" s="80" t="s">
        <v>39</v>
      </c>
    </row>
    <row r="50" spans="1:33" ht="48" customHeight="1">
      <c r="A50" s="3178"/>
      <c r="B50" s="3158"/>
      <c r="C50" s="3159"/>
      <c r="D50" s="3134" t="s">
        <v>100</v>
      </c>
      <c r="E50" s="3136"/>
      <c r="F50" s="46" t="s">
        <v>54</v>
      </c>
      <c r="G50" s="897" t="s">
        <v>101</v>
      </c>
      <c r="H50" s="2202"/>
      <c r="I50" s="1676"/>
      <c r="J50" s="54" t="s">
        <v>8</v>
      </c>
      <c r="K50" s="57">
        <f>K49/25*840/1000</f>
        <v>0</v>
      </c>
      <c r="L50" s="56" t="s">
        <v>10</v>
      </c>
      <c r="M50" s="907"/>
      <c r="N50" s="910" t="str">
        <f>IF(M49="","","+")</f>
        <v/>
      </c>
      <c r="O50" s="1586" t="str">
        <f>IF(O49="","",O49/25*840/1000)</f>
        <v/>
      </c>
      <c r="P50" s="2895" t="str">
        <f>IF(O49="","","L")</f>
        <v/>
      </c>
      <c r="Q50" s="1676"/>
      <c r="R50" s="58" t="s">
        <v>8</v>
      </c>
      <c r="S50" s="952">
        <f>S49/25*840/1000</f>
        <v>0</v>
      </c>
      <c r="T50" s="587" t="s">
        <v>10</v>
      </c>
      <c r="U50" s="907"/>
      <c r="V50" s="910" t="str">
        <f>IF(U49="","","+")</f>
        <v/>
      </c>
      <c r="W50" s="1586" t="str">
        <f>IF(W49="","",W49/25*840/1000)</f>
        <v/>
      </c>
      <c r="X50" s="2895" t="str">
        <f>IF(W49="","","L")</f>
        <v/>
      </c>
      <c r="Y50" s="1676"/>
      <c r="Z50" s="58" t="s">
        <v>8</v>
      </c>
      <c r="AA50" s="952">
        <f>AA49/25*840/1000</f>
        <v>0</v>
      </c>
      <c r="AB50" s="587" t="s">
        <v>10</v>
      </c>
      <c r="AC50" s="907"/>
      <c r="AD50" s="910" t="str">
        <f>IF(AC49="","","+")</f>
        <v/>
      </c>
      <c r="AE50" s="1586" t="str">
        <f>IF(AE49="","",AE49/25*840/1000)</f>
        <v/>
      </c>
      <c r="AF50" s="2895" t="str">
        <f>IF(AE49="","","L")</f>
        <v/>
      </c>
      <c r="AG50" s="102"/>
    </row>
    <row r="51" spans="1:33" ht="48" customHeight="1">
      <c r="A51" s="3179"/>
      <c r="B51" s="3160"/>
      <c r="C51" s="3161"/>
      <c r="D51" s="3134" t="s">
        <v>102</v>
      </c>
      <c r="E51" s="3136"/>
      <c r="F51" s="46" t="s">
        <v>54</v>
      </c>
      <c r="G51" s="897" t="s">
        <v>101</v>
      </c>
      <c r="H51" s="2202"/>
      <c r="I51" s="1676"/>
      <c r="J51" s="54" t="s">
        <v>8</v>
      </c>
      <c r="K51" s="57">
        <f>K50*10</f>
        <v>0</v>
      </c>
      <c r="L51" s="56" t="s">
        <v>10</v>
      </c>
      <c r="M51" s="907"/>
      <c r="N51" s="910" t="str">
        <f>IF(M49="","","+")</f>
        <v/>
      </c>
      <c r="O51" s="1586" t="str">
        <f>IF(O49="","",O50*10)</f>
        <v/>
      </c>
      <c r="P51" s="2895" t="str">
        <f>IF(O49="","","L")</f>
        <v/>
      </c>
      <c r="Q51" s="1676"/>
      <c r="R51" s="58" t="s">
        <v>8</v>
      </c>
      <c r="S51" s="952">
        <f>S50*10</f>
        <v>0</v>
      </c>
      <c r="T51" s="587" t="s">
        <v>10</v>
      </c>
      <c r="U51" s="907"/>
      <c r="V51" s="910" t="str">
        <f>IF(U49="","","+")</f>
        <v/>
      </c>
      <c r="W51" s="1586" t="str">
        <f>IF(W49="","",W50*10)</f>
        <v/>
      </c>
      <c r="X51" s="2895" t="str">
        <f>IF(W49="","","L")</f>
        <v/>
      </c>
      <c r="Y51" s="1676"/>
      <c r="Z51" s="58" t="s">
        <v>8</v>
      </c>
      <c r="AA51" s="952">
        <f>AA50*10</f>
        <v>0</v>
      </c>
      <c r="AB51" s="587" t="s">
        <v>10</v>
      </c>
      <c r="AC51" s="907"/>
      <c r="AD51" s="910" t="str">
        <f>IF(AC49="","","+")</f>
        <v/>
      </c>
      <c r="AE51" s="1586" t="str">
        <f>IF(AE49="","",AE50*10)</f>
        <v/>
      </c>
      <c r="AF51" s="2895" t="str">
        <f>IF(AE49="","","L")</f>
        <v/>
      </c>
      <c r="AG51" s="80"/>
    </row>
    <row r="52" spans="1:33" ht="48" customHeight="1">
      <c r="A52" s="3177">
        <v>3</v>
      </c>
      <c r="B52" s="3162" t="s">
        <v>132</v>
      </c>
      <c r="C52" s="3163"/>
      <c r="D52" s="3164" t="s">
        <v>99</v>
      </c>
      <c r="E52" s="3165"/>
      <c r="F52" s="46" t="s">
        <v>4</v>
      </c>
      <c r="G52" s="897" t="str">
        <f>'XM.FILE GOC'!$E$12</f>
        <v>60~80</v>
      </c>
      <c r="H52" s="2202" t="str">
        <f>'XM.FILE GOC'!$F$12</f>
        <v>(70±10)</v>
      </c>
      <c r="I52" s="1401">
        <f>'XM.FILE GOC'!AD12</f>
        <v>75.2</v>
      </c>
      <c r="J52" s="17" t="s">
        <v>8</v>
      </c>
      <c r="K52" s="26">
        <f>'XM.FILE GOC'!AG12</f>
        <v>0</v>
      </c>
      <c r="L52" s="18" t="s">
        <v>9</v>
      </c>
      <c r="M52" s="907"/>
      <c r="N52" s="910" t="str">
        <f t="shared" si="3"/>
        <v/>
      </c>
      <c r="O52" s="1584" t="str">
        <f>IF(M52="","",('XM.FILE GOC'!$G$12-M52)*1156/1000)</f>
        <v/>
      </c>
      <c r="P52" s="2895" t="str">
        <f>IF(O52="","","kg")</f>
        <v/>
      </c>
      <c r="Q52" s="1401">
        <f>'XM.FILE GOC'!AK12</f>
        <v>74.5</v>
      </c>
      <c r="R52" s="949" t="s">
        <v>8</v>
      </c>
      <c r="S52" s="950">
        <f>'XM.FILE GOC'!AN12</f>
        <v>0</v>
      </c>
      <c r="T52" s="951" t="s">
        <v>9</v>
      </c>
      <c r="U52" s="907"/>
      <c r="V52" s="910" t="str">
        <f t="shared" si="4"/>
        <v/>
      </c>
      <c r="W52" s="1584" t="str">
        <f>IF(U52="","",('XM.FILE GOC'!$G$12-U52)*1156/1000)</f>
        <v/>
      </c>
      <c r="X52" s="2895" t="str">
        <f>IF(W52="","","kg")</f>
        <v/>
      </c>
      <c r="Y52" s="1401">
        <f>'XM.FILE GOC'!AR12</f>
        <v>74</v>
      </c>
      <c r="Z52" s="949" t="s">
        <v>8</v>
      </c>
      <c r="AA52" s="950">
        <f>'XM.FILE GOC'!AU12</f>
        <v>0</v>
      </c>
      <c r="AB52" s="951" t="s">
        <v>9</v>
      </c>
      <c r="AC52" s="907"/>
      <c r="AD52" s="910" t="str">
        <f t="shared" si="5"/>
        <v/>
      </c>
      <c r="AE52" s="1584" t="str">
        <f>IF(AC52="","",('XM.FILE GOC'!$G$12-AC52)*1156/1000)</f>
        <v/>
      </c>
      <c r="AF52" s="2895" t="str">
        <f>IF(AE52="","","kg")</f>
        <v/>
      </c>
      <c r="AG52" s="80" t="s">
        <v>39</v>
      </c>
    </row>
    <row r="53" spans="1:33" ht="48" customHeight="1">
      <c r="A53" s="3179"/>
      <c r="B53" s="3163"/>
      <c r="C53" s="3163"/>
      <c r="D53" s="3134" t="s">
        <v>103</v>
      </c>
      <c r="E53" s="3136"/>
      <c r="F53" s="46" t="s">
        <v>54</v>
      </c>
      <c r="G53" s="897" t="s">
        <v>101</v>
      </c>
      <c r="H53" s="2202"/>
      <c r="I53" s="1673"/>
      <c r="J53" s="54" t="s">
        <v>8</v>
      </c>
      <c r="K53" s="57">
        <f>K52/25*7.5</f>
        <v>0</v>
      </c>
      <c r="L53" s="56" t="s">
        <v>10</v>
      </c>
      <c r="M53" s="907"/>
      <c r="N53" s="910" t="str">
        <f>IF(M52="","","+")</f>
        <v/>
      </c>
      <c r="O53" s="1586" t="str">
        <f>IF(O52="","",O52/25*7.5)</f>
        <v/>
      </c>
      <c r="P53" s="2895" t="str">
        <f>IF(O52="","","L")</f>
        <v/>
      </c>
      <c r="Q53" s="1673"/>
      <c r="R53" s="58" t="s">
        <v>8</v>
      </c>
      <c r="S53" s="952">
        <f>S52/25*7.5</f>
        <v>0</v>
      </c>
      <c r="T53" s="587" t="s">
        <v>10</v>
      </c>
      <c r="U53" s="907"/>
      <c r="V53" s="910" t="str">
        <f>IF(U52="","","+")</f>
        <v/>
      </c>
      <c r="W53" s="1586" t="str">
        <f>IF(W52="","",W52/25*7.5)</f>
        <v/>
      </c>
      <c r="X53" s="2895" t="str">
        <f>IF(W52="","","L")</f>
        <v/>
      </c>
      <c r="Y53" s="1673"/>
      <c r="Z53" s="58" t="s">
        <v>8</v>
      </c>
      <c r="AA53" s="952">
        <f>AA52/25*7.5</f>
        <v>0</v>
      </c>
      <c r="AB53" s="587" t="s">
        <v>10</v>
      </c>
      <c r="AC53" s="907"/>
      <c r="AD53" s="910" t="str">
        <f>IF(AC52="","","+")</f>
        <v/>
      </c>
      <c r="AE53" s="1586" t="str">
        <f>IF(AE52="","",AE52/25*7.5)</f>
        <v/>
      </c>
      <c r="AF53" s="2895" t="str">
        <f>IF(AE52="","","L")</f>
        <v/>
      </c>
      <c r="AG53" s="80"/>
    </row>
    <row r="54" spans="1:33" ht="48" customHeight="1">
      <c r="A54" s="3177">
        <v>4</v>
      </c>
      <c r="B54" s="3162" t="s">
        <v>133</v>
      </c>
      <c r="C54" s="3163"/>
      <c r="D54" s="3164" t="s">
        <v>99</v>
      </c>
      <c r="E54" s="3165"/>
      <c r="F54" s="46" t="s">
        <v>4</v>
      </c>
      <c r="G54" s="897" t="str">
        <f>'XM.FILE GOC'!$E$14</f>
        <v>60~80</v>
      </c>
      <c r="H54" s="2202" t="str">
        <f>'XM.FILE GOC'!$F$14</f>
        <v>(70±10)</v>
      </c>
      <c r="I54" s="1401">
        <f>'XM.FILE GOC'!AD14</f>
        <v>72</v>
      </c>
      <c r="J54" s="17" t="s">
        <v>8</v>
      </c>
      <c r="K54" s="26">
        <f>'XM.FILE GOC'!AG14</f>
        <v>0</v>
      </c>
      <c r="L54" s="18" t="s">
        <v>9</v>
      </c>
      <c r="M54" s="907"/>
      <c r="N54" s="910" t="str">
        <f t="shared" si="3"/>
        <v/>
      </c>
      <c r="O54" s="1584" t="str">
        <f>IF(M54="","",('XM.FILE GOC'!$G$14-M54)*1459/1000)</f>
        <v/>
      </c>
      <c r="P54" s="2895" t="str">
        <f>IF(O54="","","kg")</f>
        <v/>
      </c>
      <c r="Q54" s="1401">
        <f>'XM.FILE GOC'!AK14</f>
        <v>71</v>
      </c>
      <c r="R54" s="949" t="s">
        <v>8</v>
      </c>
      <c r="S54" s="950">
        <f>'XM.FILE GOC'!AN14</f>
        <v>0</v>
      </c>
      <c r="T54" s="951" t="s">
        <v>9</v>
      </c>
      <c r="U54" s="907"/>
      <c r="V54" s="910" t="str">
        <f t="shared" si="4"/>
        <v/>
      </c>
      <c r="W54" s="1584" t="str">
        <f>IF(U54="","",('XM.FILE GOC'!$G$14-U54)*1459/1000)</f>
        <v/>
      </c>
      <c r="X54" s="2895" t="str">
        <f>IF(W54="","","kg")</f>
        <v/>
      </c>
      <c r="Y54" s="1401">
        <f>'XM.FILE GOC'!AR14</f>
        <v>68</v>
      </c>
      <c r="Z54" s="949" t="s">
        <v>8</v>
      </c>
      <c r="AA54" s="950">
        <f>'XM.FILE GOC'!AU14</f>
        <v>2.9180000000000001</v>
      </c>
      <c r="AB54" s="951" t="s">
        <v>9</v>
      </c>
      <c r="AC54" s="907">
        <v>69.5</v>
      </c>
      <c r="AD54" s="910" t="str">
        <f t="shared" si="5"/>
        <v>+</v>
      </c>
      <c r="AE54" s="1584">
        <f>IF(AC54="","",('XM.FILE GOC'!$G$14-AC54)*1459/1000)</f>
        <v>0.72950000000000004</v>
      </c>
      <c r="AF54" s="2895" t="str">
        <f>IF(AE54="","","kg")</f>
        <v>kg</v>
      </c>
      <c r="AG54" s="80" t="s">
        <v>39</v>
      </c>
    </row>
    <row r="55" spans="1:33" ht="48" customHeight="1">
      <c r="A55" s="3179"/>
      <c r="B55" s="3163"/>
      <c r="C55" s="3163"/>
      <c r="D55" s="3134" t="s">
        <v>103</v>
      </c>
      <c r="E55" s="3136"/>
      <c r="F55" s="46" t="s">
        <v>54</v>
      </c>
      <c r="G55" s="897" t="s">
        <v>101</v>
      </c>
      <c r="H55" s="2202"/>
      <c r="I55" s="1676"/>
      <c r="J55" s="54" t="s">
        <v>8</v>
      </c>
      <c r="K55" s="57">
        <f>K54/25*7.5</f>
        <v>0</v>
      </c>
      <c r="L55" s="56" t="s">
        <v>10</v>
      </c>
      <c r="M55" s="907"/>
      <c r="N55" s="910" t="str">
        <f>IF(M54="","","+")</f>
        <v/>
      </c>
      <c r="O55" s="1586" t="str">
        <f>IF(O54="","",O54/25*7.5)</f>
        <v/>
      </c>
      <c r="P55" s="2895" t="str">
        <f>IF(O54="","","L")</f>
        <v/>
      </c>
      <c r="Q55" s="1676"/>
      <c r="R55" s="58" t="s">
        <v>8</v>
      </c>
      <c r="S55" s="952">
        <f>S54/25*7.5</f>
        <v>0</v>
      </c>
      <c r="T55" s="587" t="s">
        <v>10</v>
      </c>
      <c r="U55" s="907"/>
      <c r="V55" s="910" t="str">
        <f>IF(U54="","","+")</f>
        <v/>
      </c>
      <c r="W55" s="1586" t="str">
        <f>IF(W54="","",W54/25*7.5)</f>
        <v/>
      </c>
      <c r="X55" s="2895" t="str">
        <f>IF(W54="","","L")</f>
        <v/>
      </c>
      <c r="Y55" s="1676"/>
      <c r="Z55" s="58" t="s">
        <v>8</v>
      </c>
      <c r="AA55" s="952">
        <f>AA54/25*7.5</f>
        <v>0.87540000000000007</v>
      </c>
      <c r="AB55" s="587" t="s">
        <v>10</v>
      </c>
      <c r="AC55" s="907"/>
      <c r="AD55" s="910" t="str">
        <f>IF(AC54="","","+")</f>
        <v>+</v>
      </c>
      <c r="AE55" s="1586">
        <f>IF(AE54="","",AE54/25*7.5)</f>
        <v>0.21885000000000002</v>
      </c>
      <c r="AF55" s="2895" t="str">
        <f>IF(AE54="","","L")</f>
        <v>L</v>
      </c>
      <c r="AG55" s="80"/>
    </row>
    <row r="56" spans="1:33" ht="48" customHeight="1">
      <c r="A56" s="3177">
        <v>5</v>
      </c>
      <c r="B56" s="3134" t="s">
        <v>78</v>
      </c>
      <c r="C56" s="3135"/>
      <c r="D56" s="3135"/>
      <c r="E56" s="3136"/>
      <c r="F56" s="46" t="s">
        <v>4</v>
      </c>
      <c r="G56" s="897" t="str">
        <f>'XM.FILE GOC'!$E$16</f>
        <v>130 - 150</v>
      </c>
      <c r="H56" s="2202" t="str">
        <f>'XM.FILE GOC'!$F$16</f>
        <v>(140±7)</v>
      </c>
      <c r="I56" s="1755">
        <f>'XM.FILE GOC'!AD16</f>
        <v>143.19999999999999</v>
      </c>
      <c r="J56" s="17" t="s">
        <v>8</v>
      </c>
      <c r="K56" s="26">
        <f>'XM.FILE GOC'!AG16</f>
        <v>0</v>
      </c>
      <c r="L56" s="18" t="s">
        <v>9</v>
      </c>
      <c r="M56" s="907"/>
      <c r="N56" s="910" t="str">
        <f t="shared" si="3"/>
        <v/>
      </c>
      <c r="O56" s="1584" t="str">
        <f>IF(M56="","",('XM.FILE GOC'!$G$16-M56)*19951/1000)</f>
        <v/>
      </c>
      <c r="P56" s="2895" t="str">
        <f>IF(O56="","","kg")</f>
        <v/>
      </c>
      <c r="Q56" s="1755">
        <f>'XM.FILE GOC'!AK16</f>
        <v>142.4</v>
      </c>
      <c r="R56" s="949" t="s">
        <v>8</v>
      </c>
      <c r="S56" s="950">
        <f>'XM.FILE GOC'!AN16</f>
        <v>0</v>
      </c>
      <c r="T56" s="951" t="s">
        <v>9</v>
      </c>
      <c r="U56" s="907"/>
      <c r="V56" s="910" t="str">
        <f t="shared" si="4"/>
        <v/>
      </c>
      <c r="W56" s="1584" t="str">
        <f>IF(U56="","",('XM.FILE GOC'!$G$16-U56)*19951/1000)</f>
        <v/>
      </c>
      <c r="X56" s="2895" t="str">
        <f>IF(W56="","","kg")</f>
        <v/>
      </c>
      <c r="Y56" s="1755">
        <f>'XM.FILE GOC'!AR16</f>
        <v>142.4</v>
      </c>
      <c r="Z56" s="949" t="s">
        <v>8</v>
      </c>
      <c r="AA56" s="950">
        <f>'XM.FILE GOC'!AU16</f>
        <v>0</v>
      </c>
      <c r="AB56" s="951" t="s">
        <v>9</v>
      </c>
      <c r="AC56" s="907"/>
      <c r="AD56" s="910" t="str">
        <f t="shared" si="5"/>
        <v/>
      </c>
      <c r="AE56" s="1584" t="str">
        <f>IF(AC56="","",('XM.FILE GOC'!$G$16-AC56)*19951/1000)</f>
        <v/>
      </c>
      <c r="AF56" s="2895" t="str">
        <f>IF(AE56="","","kg")</f>
        <v/>
      </c>
      <c r="AG56" s="80" t="s">
        <v>40</v>
      </c>
    </row>
    <row r="57" spans="1:33" ht="48" customHeight="1">
      <c r="A57" s="3179"/>
      <c r="B57" s="3134" t="s">
        <v>56</v>
      </c>
      <c r="C57" s="3135"/>
      <c r="D57" s="3135"/>
      <c r="E57" s="3136"/>
      <c r="F57" s="46" t="s">
        <v>4</v>
      </c>
      <c r="G57" s="897" t="str">
        <f>'XM.FILE GOC'!$E$17</f>
        <v>8~12</v>
      </c>
      <c r="H57" s="2202" t="str">
        <f>'XM.FILE GOC'!$F$17</f>
        <v>(10±2)</v>
      </c>
      <c r="I57" s="1761">
        <f>'XM.FILE GOC'!AD17</f>
        <v>11.440000000000001</v>
      </c>
      <c r="J57" s="17" t="s">
        <v>8</v>
      </c>
      <c r="K57" s="26">
        <f>'XM.FILE GOC'!AG17</f>
        <v>0</v>
      </c>
      <c r="L57" s="18" t="s">
        <v>9</v>
      </c>
      <c r="M57" s="907"/>
      <c r="N57" s="910" t="str">
        <f t="shared" si="3"/>
        <v/>
      </c>
      <c r="O57" s="1584" t="str">
        <f>IF(M57="","",('XM.FILE GOC'!$G$17-M57)*19951/1000)</f>
        <v/>
      </c>
      <c r="P57" s="2895" t="str">
        <f>IF(O57="","","pcs")</f>
        <v/>
      </c>
      <c r="Q57" s="1761">
        <f>'XM.FILE GOC'!AK17</f>
        <v>10.790000000000001</v>
      </c>
      <c r="R57" s="949" t="s">
        <v>8</v>
      </c>
      <c r="S57" s="950">
        <f>'XM.FILE GOC'!AN17</f>
        <v>0</v>
      </c>
      <c r="T57" s="18" t="s">
        <v>9</v>
      </c>
      <c r="U57" s="907"/>
      <c r="V57" s="910" t="str">
        <f t="shared" si="4"/>
        <v/>
      </c>
      <c r="W57" s="1584" t="str">
        <f>IF(U57="","",('XM.FILE GOC'!$G$17-U57)*19951/1000)</f>
        <v/>
      </c>
      <c r="X57" s="2895" t="str">
        <f>IF(W57="","","pcs")</f>
        <v/>
      </c>
      <c r="Y57" s="1761">
        <f>'XM.FILE GOC'!AR17</f>
        <v>10.595000000000001</v>
      </c>
      <c r="Z57" s="949" t="s">
        <v>8</v>
      </c>
      <c r="AA57" s="950">
        <f>'XM.FILE GOC'!AU17</f>
        <v>0</v>
      </c>
      <c r="AB57" s="18" t="s">
        <v>9</v>
      </c>
      <c r="AC57" s="907"/>
      <c r="AD57" s="910" t="str">
        <f t="shared" si="5"/>
        <v/>
      </c>
      <c r="AE57" s="1584" t="str">
        <f>IF(AC57="","",('XM.FILE GOC'!$G$17-AC57)*19951/1000)</f>
        <v/>
      </c>
      <c r="AF57" s="2895" t="str">
        <f>IF(AE57="","","pcs")</f>
        <v/>
      </c>
      <c r="AG57" s="80" t="s">
        <v>41</v>
      </c>
    </row>
    <row r="58" spans="1:33" ht="48" customHeight="1">
      <c r="A58" s="3177">
        <v>6</v>
      </c>
      <c r="B58" s="3151" t="s">
        <v>936</v>
      </c>
      <c r="C58" s="3152"/>
      <c r="D58" s="3152"/>
      <c r="E58" s="3153"/>
      <c r="F58" s="46" t="s">
        <v>3</v>
      </c>
      <c r="G58" s="897" t="str">
        <f>'XM.FILE GOC'!$E$18</f>
        <v xml:space="preserve">12~18 </v>
      </c>
      <c r="H58" s="2202" t="str">
        <f>'XM.FILE GOC'!$F$18</f>
        <v>(14±2)</v>
      </c>
      <c r="I58" s="1731">
        <f>'XM.FILE GOC'!AD18</f>
        <v>15.8</v>
      </c>
      <c r="J58" s="54" t="s">
        <v>8</v>
      </c>
      <c r="K58" s="55">
        <f>'XM.FILE GOC'!AG18</f>
        <v>0</v>
      </c>
      <c r="L58" s="56" t="s">
        <v>10</v>
      </c>
      <c r="M58" s="907"/>
      <c r="N58" s="910" t="str">
        <f t="shared" si="3"/>
        <v/>
      </c>
      <c r="O58" s="935" t="str">
        <f>IF(M58="","",('XM.FILE GOC'!$G$18-M58)*575/99)</f>
        <v/>
      </c>
      <c r="P58" s="2895" t="str">
        <f>IF(O58="","","L")</f>
        <v/>
      </c>
      <c r="Q58" s="1731">
        <f>'XM.FILE GOC'!AK18</f>
        <v>15.25179856115108</v>
      </c>
      <c r="R58" s="58" t="s">
        <v>8</v>
      </c>
      <c r="S58" s="586">
        <f>'XM.FILE GOC'!AN18</f>
        <v>0</v>
      </c>
      <c r="T58" s="587" t="s">
        <v>10</v>
      </c>
      <c r="U58" s="907"/>
      <c r="V58" s="910" t="str">
        <f t="shared" si="4"/>
        <v/>
      </c>
      <c r="W58" s="935" t="str">
        <f>IF(U58="","",('XM.FILE GOC'!$G$18-U58)*575/99)</f>
        <v/>
      </c>
      <c r="X58" s="2895" t="str">
        <f>IF(W58="","","L")</f>
        <v/>
      </c>
      <c r="Y58" s="1731">
        <f>'XM.FILE GOC'!AR18</f>
        <v>14.676258992805753</v>
      </c>
      <c r="Z58" s="58" t="s">
        <v>8</v>
      </c>
      <c r="AA58" s="586">
        <f>'XM.FILE GOC'!AU18</f>
        <v>0</v>
      </c>
      <c r="AB58" s="587" t="s">
        <v>10</v>
      </c>
      <c r="AC58" s="907"/>
      <c r="AD58" s="910" t="str">
        <f t="shared" si="5"/>
        <v/>
      </c>
      <c r="AE58" s="935" t="str">
        <f>IF(AC58="","",('XM.FILE GOC'!$G$18-AC58)*575/99)</f>
        <v/>
      </c>
      <c r="AF58" s="2895" t="str">
        <f>IF(AE58="","","L")</f>
        <v/>
      </c>
      <c r="AG58" s="80" t="s">
        <v>42</v>
      </c>
    </row>
    <row r="59" spans="1:33" ht="48" customHeight="1">
      <c r="A59" s="3179"/>
      <c r="B59" s="3154"/>
      <c r="C59" s="3155"/>
      <c r="D59" s="3155"/>
      <c r="E59" s="3156"/>
      <c r="F59" s="46" t="s">
        <v>5</v>
      </c>
      <c r="G59" s="897" t="str">
        <f>'XM.FILE GOC'!$E$19</f>
        <v>1.5~1.9</v>
      </c>
      <c r="H59" s="2202" t="str">
        <f>'XM.FILE GOC'!$F$19</f>
        <v>(1.7±0.1 )</v>
      </c>
      <c r="I59" s="2176">
        <f>'XM.FILE GOC'!AD19</f>
        <v>1.8</v>
      </c>
      <c r="J59" s="5"/>
      <c r="K59" s="26">
        <f>'XM.FILE GOC'!AG19</f>
        <v>0</v>
      </c>
      <c r="L59" s="6"/>
      <c r="M59" s="907"/>
      <c r="N59" s="910" t="str">
        <f t="shared" si="3"/>
        <v/>
      </c>
      <c r="O59" s="1584"/>
      <c r="P59" s="2896"/>
      <c r="Q59" s="2176">
        <f>'XM.FILE GOC'!AK19</f>
        <v>1.8</v>
      </c>
      <c r="R59" s="953"/>
      <c r="S59" s="950">
        <f>'XM.FILE GOC'!AN19</f>
        <v>0</v>
      </c>
      <c r="T59" s="954"/>
      <c r="U59" s="907"/>
      <c r="V59" s="910" t="str">
        <f t="shared" si="4"/>
        <v/>
      </c>
      <c r="W59" s="1584"/>
      <c r="X59" s="2896"/>
      <c r="Y59" s="2176">
        <f>'XM.FILE GOC'!AR19</f>
        <v>1.76</v>
      </c>
      <c r="Z59" s="953"/>
      <c r="AA59" s="950">
        <f>'XM.FILE GOC'!AU19</f>
        <v>0</v>
      </c>
      <c r="AB59" s="954"/>
      <c r="AC59" s="907"/>
      <c r="AD59" s="910" t="str">
        <f t="shared" si="5"/>
        <v/>
      </c>
      <c r="AE59" s="1584"/>
      <c r="AF59" s="2896"/>
      <c r="AG59" s="80"/>
    </row>
    <row r="60" spans="1:33" ht="48" customHeight="1">
      <c r="A60" s="957">
        <v>7</v>
      </c>
      <c r="B60" s="3134" t="s">
        <v>57</v>
      </c>
      <c r="C60" s="3135"/>
      <c r="D60" s="3135"/>
      <c r="E60" s="3136"/>
      <c r="F60" s="958" t="s">
        <v>6</v>
      </c>
      <c r="G60" s="897" t="str">
        <f>'XM.FILE GOC'!$E$20</f>
        <v xml:space="preserve">40~50 </v>
      </c>
      <c r="H60" s="2202" t="str">
        <f>'XM.FILE GOC'!$F$20</f>
        <v>(45±5)</v>
      </c>
      <c r="I60" s="1736">
        <f>'XM.FILE GOC'!AD20</f>
        <v>0.49046874999999995</v>
      </c>
      <c r="J60" s="17" t="s">
        <v>8</v>
      </c>
      <c r="K60" s="26">
        <f>'XM.FILE GOC'!AG20</f>
        <v>0</v>
      </c>
      <c r="L60" s="18" t="s">
        <v>10</v>
      </c>
      <c r="M60" s="914"/>
      <c r="N60" s="910" t="str">
        <f t="shared" si="3"/>
        <v/>
      </c>
      <c r="O60" s="1584" t="str">
        <f>IF(M60="","",('XM.FILE GOC'!$G$20-M60)*2122)</f>
        <v/>
      </c>
      <c r="P60" s="2895" t="str">
        <f>IF(O60="","","L")</f>
        <v/>
      </c>
      <c r="Q60" s="1736">
        <f>'XM.FILE GOC'!AK20</f>
        <v>0.46765624999999994</v>
      </c>
      <c r="R60" s="949" t="s">
        <v>8</v>
      </c>
      <c r="S60" s="950">
        <f>'XM.FILE GOC'!AN20</f>
        <v>0</v>
      </c>
      <c r="T60" s="951" t="s">
        <v>10</v>
      </c>
      <c r="U60" s="914"/>
      <c r="V60" s="910" t="str">
        <f t="shared" si="4"/>
        <v/>
      </c>
      <c r="W60" s="1584" t="str">
        <f>IF(U60="","",('XM.FILE GOC'!$G$20-U60)*2122)</f>
        <v/>
      </c>
      <c r="X60" s="2895" t="str">
        <f>IF(W60="","","L")</f>
        <v/>
      </c>
      <c r="Y60" s="1736">
        <f>'XM.FILE GOC'!AR20</f>
        <v>0.46195312499999991</v>
      </c>
      <c r="Z60" s="949" t="s">
        <v>8</v>
      </c>
      <c r="AA60" s="950">
        <f>'XM.FILE GOC'!AU20</f>
        <v>0</v>
      </c>
      <c r="AB60" s="951" t="s">
        <v>10</v>
      </c>
      <c r="AC60" s="914"/>
      <c r="AD60" s="910" t="str">
        <f t="shared" si="5"/>
        <v/>
      </c>
      <c r="AE60" s="1584" t="str">
        <f>IF(AC60="","",('XM.FILE GOC'!$G$20-AC60)*2122)</f>
        <v/>
      </c>
      <c r="AF60" s="2895" t="str">
        <f>IF(AE60="","","L")</f>
        <v/>
      </c>
      <c r="AG60" s="80" t="s">
        <v>43</v>
      </c>
    </row>
    <row r="61" spans="1:33" ht="48" hidden="1" customHeight="1">
      <c r="A61" s="957">
        <v>8</v>
      </c>
      <c r="B61" s="3134" t="s">
        <v>58</v>
      </c>
      <c r="C61" s="3135"/>
      <c r="D61" s="3135"/>
      <c r="E61" s="3136"/>
      <c r="F61" s="958" t="s">
        <v>6</v>
      </c>
      <c r="G61" s="897" t="str">
        <f>'XM.FILE GOC'!$E$21</f>
        <v>(22±5) =17~27</v>
      </c>
      <c r="H61" s="2202" t="str">
        <f>'XM.FILE GOC'!$F$21</f>
        <v>(22±5)</v>
      </c>
      <c r="I61" s="1765">
        <f>'XM.FILE GOC'!AD21</f>
        <v>0</v>
      </c>
      <c r="J61" s="58" t="s">
        <v>8</v>
      </c>
      <c r="K61" s="55">
        <f>'XM.FILE GOC'!AG21</f>
        <v>134.64000000000001</v>
      </c>
      <c r="L61" s="56" t="s">
        <v>10</v>
      </c>
      <c r="M61" s="914"/>
      <c r="N61" s="910" t="str">
        <f t="shared" si="3"/>
        <v/>
      </c>
      <c r="O61" s="935">
        <f>('XM.FILE GOC'!$G$21-M61)*612</f>
        <v>134.64000000000001</v>
      </c>
      <c r="P61" s="909" t="s">
        <v>10</v>
      </c>
      <c r="Q61" s="1765">
        <f>'XM.FILE GOC'!AK21</f>
        <v>0</v>
      </c>
      <c r="R61" s="58" t="s">
        <v>8</v>
      </c>
      <c r="S61" s="586">
        <f>'XM.FILE GOC'!AN21</f>
        <v>134.64000000000001</v>
      </c>
      <c r="T61" s="587" t="s">
        <v>10</v>
      </c>
      <c r="U61" s="914"/>
      <c r="V61" s="910" t="str">
        <f t="shared" si="4"/>
        <v/>
      </c>
      <c r="W61" s="935">
        <f>('XM.FILE GOC'!$G$21-U61)*612</f>
        <v>134.64000000000001</v>
      </c>
      <c r="X61" s="909" t="s">
        <v>10</v>
      </c>
      <c r="Y61" s="1765">
        <f>'XM.FILE GOC'!AR21</f>
        <v>0</v>
      </c>
      <c r="Z61" s="949" t="s">
        <v>8</v>
      </c>
      <c r="AA61" s="586">
        <f>'XM.FILE GOC'!AU21</f>
        <v>134.64000000000001</v>
      </c>
      <c r="AB61" s="951" t="s">
        <v>10</v>
      </c>
      <c r="AC61" s="914"/>
      <c r="AD61" s="910" t="str">
        <f t="shared" si="5"/>
        <v/>
      </c>
      <c r="AE61" s="935">
        <f>('XM.FILE GOC'!$G$21-AC61)*612</f>
        <v>134.64000000000001</v>
      </c>
      <c r="AF61" s="909" t="s">
        <v>10</v>
      </c>
      <c r="AG61" s="80" t="s">
        <v>43</v>
      </c>
    </row>
    <row r="62" spans="1:33" ht="48" hidden="1" customHeight="1">
      <c r="A62" s="957">
        <v>9</v>
      </c>
      <c r="B62" s="3134" t="s">
        <v>107</v>
      </c>
      <c r="C62" s="3135"/>
      <c r="D62" s="3135"/>
      <c r="E62" s="3136"/>
      <c r="F62" s="958" t="s">
        <v>6</v>
      </c>
      <c r="G62" s="897" t="str">
        <f>'XM.FILE GOC'!$E$22</f>
        <v>5~15</v>
      </c>
      <c r="H62" s="2202" t="str">
        <f>'XM.FILE GOC'!$F$22</f>
        <v>(10±3)</v>
      </c>
      <c r="I62" s="1765">
        <f>'XM.FILE GOC'!AD22</f>
        <v>0.17109374999999999</v>
      </c>
      <c r="J62" s="17" t="s">
        <v>8</v>
      </c>
      <c r="K62" s="26">
        <f>'XM.FILE GOC'!AG22</f>
        <v>0</v>
      </c>
      <c r="L62" s="18" t="s">
        <v>10</v>
      </c>
      <c r="M62" s="914"/>
      <c r="N62" s="910" t="str">
        <f t="shared" si="3"/>
        <v/>
      </c>
      <c r="O62" s="1584">
        <f>('XM.FILE GOC'!$G$22-M62)*575</f>
        <v>57.5</v>
      </c>
      <c r="P62" s="909" t="s">
        <v>10</v>
      </c>
      <c r="Q62" s="1765">
        <f>'XM.FILE GOC'!AK22</f>
        <v>0.15284375</v>
      </c>
      <c r="R62" s="949" t="s">
        <v>8</v>
      </c>
      <c r="S62" s="950">
        <f>'XM.FILE GOC'!AN22</f>
        <v>0</v>
      </c>
      <c r="T62" s="951" t="s">
        <v>10</v>
      </c>
      <c r="U62" s="914"/>
      <c r="V62" s="910" t="str">
        <f t="shared" si="4"/>
        <v/>
      </c>
      <c r="W62" s="1584">
        <f>('XM.FILE GOC'!$G$22-U62)*575</f>
        <v>57.5</v>
      </c>
      <c r="X62" s="909" t="s">
        <v>10</v>
      </c>
      <c r="Y62" s="1765">
        <f>'XM.FILE GOC'!AR22</f>
        <v>0.1140625</v>
      </c>
      <c r="Z62" s="949" t="s">
        <v>8</v>
      </c>
      <c r="AA62" s="950">
        <f>'XM.FILE GOC'!AU22</f>
        <v>0</v>
      </c>
      <c r="AB62" s="951" t="s">
        <v>10</v>
      </c>
      <c r="AC62" s="914"/>
      <c r="AD62" s="910" t="str">
        <f t="shared" si="5"/>
        <v/>
      </c>
      <c r="AE62" s="1584">
        <f>('XM.FILE GOC'!$G$22-AC62)*575</f>
        <v>57.5</v>
      </c>
      <c r="AF62" s="909" t="s">
        <v>10</v>
      </c>
      <c r="AG62" s="80" t="s">
        <v>44</v>
      </c>
    </row>
    <row r="63" spans="1:33" ht="48" customHeight="1">
      <c r="A63" s="957">
        <v>10</v>
      </c>
      <c r="B63" s="3134" t="s">
        <v>937</v>
      </c>
      <c r="C63" s="3135"/>
      <c r="D63" s="3135"/>
      <c r="E63" s="3136"/>
      <c r="F63" s="958" t="s">
        <v>3</v>
      </c>
      <c r="G63" s="897" t="str">
        <f>'XM.FILE GOC'!$E$23</f>
        <v>0.5~1.0</v>
      </c>
      <c r="H63" s="2202" t="str">
        <f>'XM.FILE GOC'!$F$23</f>
        <v>(0.7±0.1)</v>
      </c>
      <c r="I63" s="1767">
        <f>'XM.FILE GOC'!AD23</f>
        <v>7.0000000000000001E-3</v>
      </c>
      <c r="J63" s="17" t="s">
        <v>8</v>
      </c>
      <c r="K63" s="43">
        <f>'XM.FILE GOC'!AG23</f>
        <v>0</v>
      </c>
      <c r="L63" s="18" t="s">
        <v>10</v>
      </c>
      <c r="M63" s="1572"/>
      <c r="N63" s="910" t="str">
        <f t="shared" si="3"/>
        <v/>
      </c>
      <c r="O63" s="935" t="str">
        <f>IF(M63="","",('XM.FILE GOC'!$G$23-M63)*530/65%)</f>
        <v/>
      </c>
      <c r="P63" s="2895" t="str">
        <f>IF(O63="","","L")</f>
        <v/>
      </c>
      <c r="Q63" s="1767">
        <f>'XM.FILE GOC'!AK23</f>
        <v>6.7999999999999996E-3</v>
      </c>
      <c r="R63" s="949" t="s">
        <v>8</v>
      </c>
      <c r="S63" s="955">
        <f>'XM.FILE GOC'!AN23</f>
        <v>0.10799796230259832</v>
      </c>
      <c r="T63" s="951" t="s">
        <v>10</v>
      </c>
      <c r="U63" s="1572">
        <v>3.0000000000000001E-3</v>
      </c>
      <c r="V63" s="910" t="str">
        <f t="shared" si="4"/>
        <v>+</v>
      </c>
      <c r="W63" s="935">
        <f>IF(U63="","",('XM.FILE GOC'!$G$23-U63)*530/65%)</f>
        <v>3.2615384615384615</v>
      </c>
      <c r="X63" s="2895" t="str">
        <f>IF(W63="","","L")</f>
        <v>L</v>
      </c>
      <c r="Y63" s="1767">
        <f>'XM.FILE GOC'!AR23</f>
        <v>7.5599999999999999E-3</v>
      </c>
      <c r="Z63" s="949" t="s">
        <v>8</v>
      </c>
      <c r="AA63" s="955">
        <f>'XM.FILE GOC'!AU23</f>
        <v>0</v>
      </c>
      <c r="AB63" s="951" t="s">
        <v>10</v>
      </c>
      <c r="AC63" s="1572"/>
      <c r="AD63" s="910" t="str">
        <f t="shared" si="5"/>
        <v/>
      </c>
      <c r="AE63" s="935" t="str">
        <f>IF(AC63="","",('XM.FILE GOC'!$G$23-AC63)*530/65%)</f>
        <v/>
      </c>
      <c r="AF63" s="2895" t="str">
        <f>IF(AE63="","","L")</f>
        <v/>
      </c>
      <c r="AG63" s="80" t="s">
        <v>44</v>
      </c>
    </row>
    <row r="64" spans="1:33" ht="48" customHeight="1">
      <c r="A64" s="2173"/>
      <c r="B64" s="3143" t="s">
        <v>73</v>
      </c>
      <c r="C64" s="3144"/>
      <c r="D64" s="3144"/>
      <c r="E64" s="3145"/>
      <c r="F64" s="2164" t="s">
        <v>3</v>
      </c>
      <c r="G64" s="1005" t="str">
        <f>'XM.GUI MAIL'!$E$24</f>
        <v>5~10</v>
      </c>
      <c r="H64" s="2203" t="str">
        <f>'XM.GUI MAIL'!$F$24</f>
        <v>(7.5±1)</v>
      </c>
      <c r="I64" s="1833">
        <f>'XM.FILE GOC'!AD24</f>
        <v>7.8846153846153841</v>
      </c>
      <c r="J64" s="17" t="s">
        <v>8</v>
      </c>
      <c r="K64" s="26">
        <f>'XM.FILE GOC'!AG24</f>
        <v>0</v>
      </c>
      <c r="L64" s="18" t="s">
        <v>10</v>
      </c>
      <c r="M64" s="2236"/>
      <c r="N64" s="910" t="str">
        <f t="shared" si="3"/>
        <v/>
      </c>
      <c r="O64" s="1584" t="str">
        <f>IF(M64="","",('XM.FILE GOC'!$G$24-M64)*575/95*1.13)</f>
        <v/>
      </c>
      <c r="P64" s="2895" t="str">
        <f>IF(O64="","","L")</f>
        <v/>
      </c>
      <c r="Q64" s="1833" t="str">
        <f>'XM.FILE GOC'!AK24</f>
        <v xml:space="preserve">ko sx  </v>
      </c>
      <c r="R64" s="949" t="s">
        <v>8</v>
      </c>
      <c r="S64" s="950">
        <f>'XM.FILE GOC'!AN24</f>
        <v>0</v>
      </c>
      <c r="T64" s="951" t="s">
        <v>10</v>
      </c>
      <c r="U64" s="2236"/>
      <c r="V64" s="910" t="str">
        <f t="shared" si="4"/>
        <v/>
      </c>
      <c r="W64" s="1584" t="str">
        <f>IF(U64="","",('XM.FILE GOC'!$G$24-U64)*575/95*1.13)</f>
        <v/>
      </c>
      <c r="X64" s="2895" t="str">
        <f>IF(W64="","","L")</f>
        <v/>
      </c>
      <c r="Y64" s="1833" t="str">
        <f>'XM.FILE GOC'!AR24</f>
        <v xml:space="preserve">ko sx  </v>
      </c>
      <c r="Z64" s="949" t="s">
        <v>8</v>
      </c>
      <c r="AA64" s="950">
        <f>'XM.FILE GOC'!AU24</f>
        <v>0</v>
      </c>
      <c r="AB64" s="951" t="s">
        <v>10</v>
      </c>
      <c r="AC64" s="2236"/>
      <c r="AD64" s="910" t="str">
        <f t="shared" si="5"/>
        <v/>
      </c>
      <c r="AE64" s="1584" t="str">
        <f>IF(AC64="","",('XM.FILE GOC'!$G$24-AC64)*575/95*1.13)</f>
        <v/>
      </c>
      <c r="AF64" s="2895" t="str">
        <f>IF(AE64="","","L")</f>
        <v/>
      </c>
      <c r="AG64" s="2165"/>
    </row>
    <row r="65" spans="1:56" ht="48" customHeight="1">
      <c r="A65" s="2173"/>
      <c r="B65" s="3146"/>
      <c r="C65" s="3147"/>
      <c r="D65" s="3147"/>
      <c r="E65" s="3148"/>
      <c r="F65" s="2164" t="s">
        <v>5</v>
      </c>
      <c r="G65" s="1005" t="str">
        <f>'XM.GUI MAIL'!$E$25</f>
        <v>2.0~2.4</v>
      </c>
      <c r="H65" s="2203" t="str">
        <f>'XM.GUI MAIL'!$F$25</f>
        <v>(2.2±0.1)</v>
      </c>
      <c r="I65" s="2176">
        <v>2.2000000000000002</v>
      </c>
      <c r="J65" s="5"/>
      <c r="K65" s="26"/>
      <c r="L65" s="6"/>
      <c r="M65" s="907"/>
      <c r="N65" s="910"/>
      <c r="O65" s="1584"/>
      <c r="P65" s="911"/>
      <c r="Q65" s="2176" t="str">
        <f>'XM.FILE GOC'!AK25</f>
        <v xml:space="preserve">ko sx  </v>
      </c>
      <c r="R65" s="953"/>
      <c r="S65" s="950"/>
      <c r="T65" s="954"/>
      <c r="U65" s="907"/>
      <c r="V65" s="910"/>
      <c r="W65" s="1584"/>
      <c r="X65" s="911"/>
      <c r="Y65" s="2176" t="str">
        <f>'XM.FILE GOC'!AR25</f>
        <v xml:space="preserve">ko sx  </v>
      </c>
      <c r="Z65" s="949"/>
      <c r="AA65" s="955"/>
      <c r="AB65" s="951"/>
      <c r="AC65" s="915"/>
      <c r="AD65" s="910"/>
      <c r="AE65" s="1585"/>
      <c r="AF65" s="916"/>
      <c r="AG65" s="2165"/>
    </row>
    <row r="66" spans="1:56" ht="48" customHeight="1">
      <c r="B66" s="2401" t="s">
        <v>72</v>
      </c>
      <c r="C66" s="2402"/>
      <c r="D66" s="2402"/>
      <c r="E66" s="2402"/>
      <c r="F66" s="2402"/>
      <c r="G66" s="2402"/>
      <c r="H66" s="2402"/>
      <c r="I66" s="2402"/>
      <c r="J66" s="2402"/>
      <c r="K66" s="2402"/>
      <c r="L66" s="2402"/>
      <c r="M66" s="2402"/>
      <c r="N66" s="2402"/>
      <c r="O66" s="2402"/>
      <c r="P66" s="2402"/>
      <c r="Q66" s="2402"/>
      <c r="R66" s="2402"/>
      <c r="S66" s="2402"/>
      <c r="T66" s="2402"/>
      <c r="U66" s="2402"/>
      <c r="V66" s="2402"/>
      <c r="W66" s="2402"/>
      <c r="X66" s="2402"/>
      <c r="Y66" s="2402"/>
      <c r="Z66" s="2402"/>
      <c r="AA66" s="2402"/>
      <c r="AB66" s="2402"/>
      <c r="AC66" s="2402"/>
      <c r="AD66" s="2402"/>
      <c r="AE66" s="2403"/>
      <c r="AF66" s="2401"/>
      <c r="AG66" s="2401"/>
    </row>
    <row r="67" spans="1:56" ht="48" customHeight="1">
      <c r="A67" s="957" t="s">
        <v>7</v>
      </c>
      <c r="B67" s="3134" t="s">
        <v>60</v>
      </c>
      <c r="C67" s="3135"/>
      <c r="D67" s="3135"/>
      <c r="E67" s="3136"/>
      <c r="F67" s="247" t="s">
        <v>62</v>
      </c>
      <c r="G67" s="975" t="s">
        <v>1296</v>
      </c>
      <c r="H67" s="2204" t="s">
        <v>1289</v>
      </c>
      <c r="I67" s="3122" t="s">
        <v>45</v>
      </c>
      <c r="J67" s="3122"/>
      <c r="K67" s="3122" t="s">
        <v>61</v>
      </c>
      <c r="L67" s="3122"/>
      <c r="M67" s="917"/>
      <c r="N67" s="918"/>
      <c r="O67" s="918"/>
      <c r="P67" s="919"/>
      <c r="Q67" s="3176" t="s">
        <v>45</v>
      </c>
      <c r="R67" s="3176"/>
      <c r="S67" s="3176" t="s">
        <v>61</v>
      </c>
      <c r="T67" s="3176"/>
      <c r="U67" s="917"/>
      <c r="V67" s="918"/>
      <c r="W67" s="918"/>
      <c r="X67" s="919"/>
      <c r="Y67" s="3176" t="s">
        <v>45</v>
      </c>
      <c r="Z67" s="3176"/>
      <c r="AA67" s="3176" t="s">
        <v>61</v>
      </c>
      <c r="AB67" s="3176"/>
      <c r="AC67" s="917"/>
      <c r="AD67" s="918"/>
      <c r="AE67" s="918"/>
      <c r="AF67" s="919"/>
      <c r="AG67" s="79"/>
    </row>
    <row r="68" spans="1:56" ht="48" customHeight="1">
      <c r="A68" s="957">
        <v>1</v>
      </c>
      <c r="B68" s="3134" t="s">
        <v>64</v>
      </c>
      <c r="C68" s="3135"/>
      <c r="D68" s="3135"/>
      <c r="E68" s="3136"/>
      <c r="F68" s="246" t="s">
        <v>194</v>
      </c>
      <c r="G68" s="897" t="str">
        <f>'XM.FILE GOC'!$E$28</f>
        <v>50~70</v>
      </c>
      <c r="H68" s="2202" t="str">
        <f>'XM.FILE GOC'!$F$28</f>
        <v>(60±5)</v>
      </c>
      <c r="I68" s="3121">
        <f>'XM.FILE GOC'!AD28</f>
        <v>63</v>
      </c>
      <c r="J68" s="3121"/>
      <c r="K68" s="3121">
        <f>'XM.FILE GOC'!AG28</f>
        <v>62</v>
      </c>
      <c r="L68" s="3121"/>
      <c r="M68" s="920"/>
      <c r="N68" s="921"/>
      <c r="O68" s="921"/>
      <c r="P68" s="922"/>
      <c r="Q68" s="3121">
        <f>'XM.FILE GOC'!AK28</f>
        <v>62</v>
      </c>
      <c r="R68" s="3121"/>
      <c r="S68" s="3121">
        <f>'XM.FILE GOC'!AN28</f>
        <v>61</v>
      </c>
      <c r="T68" s="3121"/>
      <c r="U68" s="920"/>
      <c r="V68" s="921"/>
      <c r="W68" s="921"/>
      <c r="X68" s="922"/>
      <c r="Y68" s="3121">
        <f>'XM.FILE GOC'!AR28</f>
        <v>63</v>
      </c>
      <c r="Z68" s="3121"/>
      <c r="AA68" s="3121">
        <f>'XM.FILE GOC'!AU28</f>
        <v>62</v>
      </c>
      <c r="AB68" s="3121"/>
      <c r="AC68" s="920"/>
      <c r="AD68" s="921"/>
      <c r="AE68" s="921"/>
      <c r="AF68" s="922"/>
      <c r="AG68" s="80"/>
    </row>
    <row r="69" spans="1:56" ht="48" customHeight="1">
      <c r="A69" s="957">
        <v>2</v>
      </c>
      <c r="B69" s="3134" t="s">
        <v>65</v>
      </c>
      <c r="C69" s="3135" t="s">
        <v>65</v>
      </c>
      <c r="D69" s="3135" t="s">
        <v>65</v>
      </c>
      <c r="E69" s="3136" t="s">
        <v>65</v>
      </c>
      <c r="F69" s="246" t="s">
        <v>194</v>
      </c>
      <c r="G69" s="897" t="str">
        <f>'XM.FILE GOC'!$E$29</f>
        <v>50~70</v>
      </c>
      <c r="H69" s="2202" t="str">
        <f>'XM.FILE GOC'!$F$29</f>
        <v>(60±5)</v>
      </c>
      <c r="I69" s="3121">
        <f>'XM.FILE GOC'!AD29</f>
        <v>61</v>
      </c>
      <c r="J69" s="3121"/>
      <c r="K69" s="3121">
        <f>'XM.FILE GOC'!AG29</f>
        <v>60</v>
      </c>
      <c r="L69" s="3121"/>
      <c r="M69" s="920"/>
      <c r="N69" s="921"/>
      <c r="O69" s="921"/>
      <c r="P69" s="922"/>
      <c r="Q69" s="3121">
        <f>'XM.FILE GOC'!AK29</f>
        <v>61</v>
      </c>
      <c r="R69" s="3121"/>
      <c r="S69" s="3121">
        <f>'XM.FILE GOC'!AN29</f>
        <v>60</v>
      </c>
      <c r="T69" s="3121"/>
      <c r="U69" s="920"/>
      <c r="V69" s="921"/>
      <c r="W69" s="921"/>
      <c r="X69" s="922"/>
      <c r="Y69" s="3121">
        <f>'XM.FILE GOC'!AR29</f>
        <v>60</v>
      </c>
      <c r="Z69" s="3121"/>
      <c r="AA69" s="3121">
        <f>'XM.FILE GOC'!AU29</f>
        <v>59</v>
      </c>
      <c r="AB69" s="3121"/>
      <c r="AC69" s="920"/>
      <c r="AD69" s="921"/>
      <c r="AE69" s="921"/>
      <c r="AF69" s="922"/>
      <c r="AG69" s="80"/>
    </row>
    <row r="70" spans="1:56" ht="48" customHeight="1">
      <c r="A70" s="957">
        <v>3</v>
      </c>
      <c r="B70" s="3134" t="s">
        <v>67</v>
      </c>
      <c r="C70" s="3135" t="s">
        <v>67</v>
      </c>
      <c r="D70" s="3135" t="s">
        <v>67</v>
      </c>
      <c r="E70" s="3136" t="s">
        <v>67</v>
      </c>
      <c r="F70" s="246" t="s">
        <v>194</v>
      </c>
      <c r="G70" s="897" t="str">
        <f>'XM.FILE GOC'!$E$30</f>
        <v>40~60</v>
      </c>
      <c r="H70" s="2202" t="str">
        <f>'XM.FILE GOC'!$F$30</f>
        <v>(50±5)</v>
      </c>
      <c r="I70" s="3095">
        <f>'XM.FILE GOC'!AD30</f>
        <v>54</v>
      </c>
      <c r="J70" s="3086"/>
      <c r="K70" s="3095">
        <f>'XM.FILE GOC'!AG30</f>
        <v>53</v>
      </c>
      <c r="L70" s="3086"/>
      <c r="M70" s="920"/>
      <c r="N70" s="921"/>
      <c r="O70" s="921"/>
      <c r="P70" s="922"/>
      <c r="Q70" s="3095">
        <f>'XM.FILE GOC'!AK30</f>
        <v>53</v>
      </c>
      <c r="R70" s="3086"/>
      <c r="S70" s="3095">
        <f>'XM.FILE GOC'!AN30</f>
        <v>52</v>
      </c>
      <c r="T70" s="3086"/>
      <c r="U70" s="920"/>
      <c r="V70" s="921"/>
      <c r="W70" s="921"/>
      <c r="X70" s="922"/>
      <c r="Y70" s="3095">
        <f>'XM.FILE GOC'!AR30</f>
        <v>53</v>
      </c>
      <c r="Z70" s="3086"/>
      <c r="AA70" s="3095">
        <f>'XM.FILE GOC'!AU30</f>
        <v>52</v>
      </c>
      <c r="AB70" s="3086"/>
      <c r="AC70" s="920"/>
      <c r="AD70" s="921"/>
      <c r="AE70" s="921"/>
      <c r="AF70" s="922"/>
      <c r="AG70" s="80"/>
    </row>
    <row r="71" spans="1:56" ht="48" customHeight="1">
      <c r="A71" s="957">
        <v>4</v>
      </c>
      <c r="B71" s="3134" t="s">
        <v>66</v>
      </c>
      <c r="C71" s="3135" t="s">
        <v>66</v>
      </c>
      <c r="D71" s="3135" t="s">
        <v>66</v>
      </c>
      <c r="E71" s="3136" t="s">
        <v>66</v>
      </c>
      <c r="F71" s="246" t="s">
        <v>194</v>
      </c>
      <c r="G71" s="897" t="str">
        <f>'XM.FILE GOC'!$E$31</f>
        <v>40~60</v>
      </c>
      <c r="H71" s="2202" t="str">
        <f>'XM.FILE GOC'!$F$31</f>
        <v>(50±5)</v>
      </c>
      <c r="I71" s="3095">
        <f>'XM.FILE GOC'!AD31</f>
        <v>50</v>
      </c>
      <c r="J71" s="3086"/>
      <c r="K71" s="3095">
        <f>'XM.FILE GOC'!AG31</f>
        <v>49</v>
      </c>
      <c r="L71" s="3086"/>
      <c r="M71" s="920"/>
      <c r="N71" s="921"/>
      <c r="O71" s="921"/>
      <c r="P71" s="922"/>
      <c r="Q71" s="3095">
        <f>'XM.FILE GOC'!AK31</f>
        <v>48</v>
      </c>
      <c r="R71" s="3086"/>
      <c r="S71" s="3095">
        <f>'XM.FILE GOC'!AN31</f>
        <v>47</v>
      </c>
      <c r="T71" s="3086"/>
      <c r="U71" s="920"/>
      <c r="V71" s="921"/>
      <c r="W71" s="921"/>
      <c r="X71" s="922"/>
      <c r="Y71" s="3095">
        <f>'XM.FILE GOC'!AR31</f>
        <v>49</v>
      </c>
      <c r="Z71" s="3086"/>
      <c r="AA71" s="3095">
        <f>'XM.FILE GOC'!AU31</f>
        <v>48</v>
      </c>
      <c r="AB71" s="3086"/>
      <c r="AC71" s="920"/>
      <c r="AD71" s="921"/>
      <c r="AE71" s="921"/>
      <c r="AF71" s="922"/>
      <c r="AG71" s="80"/>
    </row>
    <row r="72" spans="1:56" ht="48" customHeight="1">
      <c r="A72" s="957">
        <v>5</v>
      </c>
      <c r="B72" s="3134" t="s">
        <v>68</v>
      </c>
      <c r="C72" s="3135" t="s">
        <v>68</v>
      </c>
      <c r="D72" s="3135" t="s">
        <v>68</v>
      </c>
      <c r="E72" s="3136" t="s">
        <v>68</v>
      </c>
      <c r="F72" s="246" t="s">
        <v>194</v>
      </c>
      <c r="G72" s="897" t="str">
        <f>'XM.FILE GOC'!$E$32</f>
        <v>20~35</v>
      </c>
      <c r="H72" s="2202" t="str">
        <f>'XM.FILE GOC'!$F$32</f>
        <v>(30±4)</v>
      </c>
      <c r="I72" s="3121">
        <f>'XM.FILE GOC'!AD32</f>
        <v>31</v>
      </c>
      <c r="J72" s="3121"/>
      <c r="K72" s="3121">
        <f>'XM.FILE GOC'!AG32</f>
        <v>31</v>
      </c>
      <c r="L72" s="3121"/>
      <c r="M72" s="920"/>
      <c r="N72" s="921"/>
      <c r="O72" s="921"/>
      <c r="P72" s="922"/>
      <c r="Q72" s="3121">
        <f>'XM.FILE GOC'!AK32</f>
        <v>30</v>
      </c>
      <c r="R72" s="3121"/>
      <c r="S72" s="3121">
        <f>'XM.FILE GOC'!AN32</f>
        <v>29</v>
      </c>
      <c r="T72" s="3121"/>
      <c r="U72" s="920"/>
      <c r="V72" s="921"/>
      <c r="W72" s="921"/>
      <c r="X72" s="922"/>
      <c r="Y72" s="3121">
        <f>'XM.FILE GOC'!AR32</f>
        <v>29</v>
      </c>
      <c r="Z72" s="3121"/>
      <c r="AA72" s="3121">
        <f>'XM.FILE GOC'!AU32</f>
        <v>29</v>
      </c>
      <c r="AB72" s="3121"/>
      <c r="AC72" s="920"/>
      <c r="AD72" s="921"/>
      <c r="AE72" s="921"/>
      <c r="AF72" s="922"/>
      <c r="AG72" s="80"/>
    </row>
    <row r="73" spans="1:56" ht="48" customHeight="1">
      <c r="A73" s="957">
        <v>6</v>
      </c>
      <c r="B73" s="3134" t="s">
        <v>938</v>
      </c>
      <c r="C73" s="3135" t="s">
        <v>938</v>
      </c>
      <c r="D73" s="3135" t="s">
        <v>938</v>
      </c>
      <c r="E73" s="3136" t="s">
        <v>938</v>
      </c>
      <c r="F73" s="246" t="s">
        <v>194</v>
      </c>
      <c r="G73" s="897" t="str">
        <f>'XM.FILE GOC'!$E$33</f>
        <v>30~40</v>
      </c>
      <c r="H73" s="2202" t="str">
        <f>'XM.FILE GOC'!$F$33</f>
        <v>(34±3)</v>
      </c>
      <c r="I73" s="3121">
        <f>'XM.FILE GOC'!AD33</f>
        <v>37</v>
      </c>
      <c r="J73" s="3121"/>
      <c r="K73" s="3121">
        <f>'XM.FILE GOC'!AG33</f>
        <v>37</v>
      </c>
      <c r="L73" s="3121"/>
      <c r="M73" s="920"/>
      <c r="N73" s="921"/>
      <c r="O73" s="921"/>
      <c r="P73" s="922"/>
      <c r="Q73" s="3121">
        <f>'XM.FILE GOC'!AK33</f>
        <v>37</v>
      </c>
      <c r="R73" s="3121"/>
      <c r="S73" s="3121">
        <f>'XM.FILE GOC'!AN33</f>
        <v>36</v>
      </c>
      <c r="T73" s="3121"/>
      <c r="U73" s="920"/>
      <c r="V73" s="921"/>
      <c r="W73" s="921"/>
      <c r="X73" s="922"/>
      <c r="Y73" s="3121">
        <v>36</v>
      </c>
      <c r="Z73" s="3121"/>
      <c r="AA73" s="3121">
        <v>35</v>
      </c>
      <c r="AB73" s="3121"/>
      <c r="AC73" s="920"/>
      <c r="AD73" s="921"/>
      <c r="AE73" s="921"/>
      <c r="AF73" s="922"/>
      <c r="AG73" s="80"/>
    </row>
    <row r="74" spans="1:56" ht="48" customHeight="1">
      <c r="A74" s="957">
        <v>7</v>
      </c>
      <c r="B74" s="3134" t="s">
        <v>69</v>
      </c>
      <c r="C74" s="3135" t="s">
        <v>69</v>
      </c>
      <c r="D74" s="3135" t="s">
        <v>69</v>
      </c>
      <c r="E74" s="3136" t="s">
        <v>69</v>
      </c>
      <c r="F74" s="246" t="s">
        <v>194</v>
      </c>
      <c r="G74" s="897" t="str">
        <f>'XM.FILE GOC'!$E$34</f>
        <v>50~70</v>
      </c>
      <c r="H74" s="2202" t="str">
        <f>'XM.FILE GOC'!$F$34</f>
        <v>(60±10)</v>
      </c>
      <c r="I74" s="3121">
        <f>'XM.FILE GOC'!AD34</f>
        <v>57</v>
      </c>
      <c r="J74" s="3121"/>
      <c r="K74" s="3121">
        <f>'XM.FILE GOC'!AG34</f>
        <v>56</v>
      </c>
      <c r="L74" s="3121"/>
      <c r="M74" s="920"/>
      <c r="N74" s="921"/>
      <c r="O74" s="921"/>
      <c r="P74" s="922"/>
      <c r="Q74" s="3121">
        <f>'XM.FILE GOC'!AK34</f>
        <v>54</v>
      </c>
      <c r="R74" s="3121"/>
      <c r="S74" s="3121">
        <f>'XM.FILE GOC'!AN34</f>
        <v>53</v>
      </c>
      <c r="T74" s="3121"/>
      <c r="U74" s="920"/>
      <c r="V74" s="921"/>
      <c r="W74" s="921"/>
      <c r="X74" s="922"/>
      <c r="Y74" s="3121">
        <f>'XM.FILE GOC'!AR34</f>
        <v>56</v>
      </c>
      <c r="Z74" s="3121"/>
      <c r="AA74" s="3121">
        <f>'XM.FILE GOC'!AU34</f>
        <v>55</v>
      </c>
      <c r="AB74" s="3121"/>
      <c r="AC74" s="920"/>
      <c r="AD74" s="921"/>
      <c r="AE74" s="921"/>
      <c r="AF74" s="922"/>
      <c r="AG74" s="80"/>
      <c r="AP74" s="921"/>
      <c r="AQ74" s="921"/>
      <c r="AR74" s="922"/>
      <c r="AS74" s="3098"/>
      <c r="AT74" s="3099"/>
      <c r="AU74" s="3098"/>
      <c r="AV74" s="3099"/>
      <c r="AW74" s="1381"/>
      <c r="AX74" s="921"/>
      <c r="AY74" s="921"/>
      <c r="AZ74" s="922"/>
      <c r="BA74" s="3098"/>
      <c r="BB74" s="3099"/>
      <c r="BC74" s="3098"/>
      <c r="BD74" s="3099"/>
    </row>
    <row r="75" spans="1:56" ht="48" customHeight="1">
      <c r="A75" s="957">
        <v>8</v>
      </c>
      <c r="B75" s="3140" t="s">
        <v>70</v>
      </c>
      <c r="C75" s="3141" t="s">
        <v>70</v>
      </c>
      <c r="D75" s="3141" t="s">
        <v>70</v>
      </c>
      <c r="E75" s="3142" t="s">
        <v>70</v>
      </c>
      <c r="F75" s="246" t="s">
        <v>194</v>
      </c>
      <c r="G75" s="897" t="str">
        <f>'XM.FILE GOC'!$E$35</f>
        <v>80~100</v>
      </c>
      <c r="H75" s="2202" t="str">
        <f>'XM.FILE GOC'!$F$35</f>
        <v>(90±5)</v>
      </c>
      <c r="I75" s="3122" t="str">
        <f>'XM.FILE GOC'!AD35</f>
        <v>\</v>
      </c>
      <c r="J75" s="3122"/>
      <c r="K75" s="3121">
        <f>'XM.FILE GOC'!AG35</f>
        <v>92</v>
      </c>
      <c r="L75" s="3121"/>
      <c r="M75" s="923"/>
      <c r="N75" s="924"/>
      <c r="O75" s="924"/>
      <c r="P75" s="925"/>
      <c r="Q75" s="3122" t="str">
        <f>'XM.FILE GOC'!AK35</f>
        <v>\</v>
      </c>
      <c r="R75" s="3122"/>
      <c r="S75" s="3121">
        <f>'XM.FILE GOC'!AN35</f>
        <v>89</v>
      </c>
      <c r="T75" s="3121"/>
      <c r="U75" s="923"/>
      <c r="V75" s="924"/>
      <c r="W75" s="924"/>
      <c r="X75" s="925"/>
      <c r="Y75" s="3122" t="str">
        <f>'XM.FILE GOC'!AR35</f>
        <v>\</v>
      </c>
      <c r="Z75" s="3122"/>
      <c r="AA75" s="3121">
        <f>'XM.FILE GOC'!AU35</f>
        <v>89</v>
      </c>
      <c r="AB75" s="3121"/>
      <c r="AC75" s="923"/>
      <c r="AD75" s="924"/>
      <c r="AE75" s="924"/>
      <c r="AF75" s="925"/>
      <c r="AG75" s="80"/>
    </row>
    <row r="76" spans="1:56" ht="48" customHeight="1">
      <c r="B76" s="2401" t="s">
        <v>74</v>
      </c>
      <c r="C76" s="2402"/>
      <c r="D76" s="2402"/>
      <c r="E76" s="2402"/>
      <c r="F76" s="2402"/>
      <c r="G76" s="2402"/>
      <c r="H76" s="2402"/>
      <c r="I76" s="2402"/>
      <c r="J76" s="2402"/>
      <c r="K76" s="2402"/>
      <c r="L76" s="2402"/>
      <c r="M76" s="2402"/>
      <c r="N76" s="2402"/>
      <c r="O76" s="2402"/>
      <c r="P76" s="2402"/>
      <c r="Q76" s="2402"/>
      <c r="R76" s="2402"/>
      <c r="S76" s="2402"/>
      <c r="T76" s="2402"/>
      <c r="U76" s="2402"/>
      <c r="V76" s="2402"/>
      <c r="W76" s="2402"/>
      <c r="X76" s="2402"/>
      <c r="Y76" s="2402"/>
      <c r="Z76" s="2402"/>
      <c r="AA76" s="2402"/>
      <c r="AB76" s="2402"/>
      <c r="AC76" s="2402"/>
      <c r="AD76" s="2403"/>
      <c r="AE76" s="2401"/>
      <c r="AF76" s="2401"/>
      <c r="AG76" s="2401"/>
    </row>
    <row r="77" spans="1:56" ht="48" customHeight="1">
      <c r="A77" s="957" t="s">
        <v>7</v>
      </c>
      <c r="B77" s="3134" t="s">
        <v>91</v>
      </c>
      <c r="C77" s="3135"/>
      <c r="D77" s="3135"/>
      <c r="E77" s="3136"/>
      <c r="F77" s="577" t="s">
        <v>92</v>
      </c>
      <c r="G77" s="975" t="s">
        <v>1296</v>
      </c>
      <c r="H77" s="2204" t="s">
        <v>1289</v>
      </c>
      <c r="I77" s="3190" t="s">
        <v>110</v>
      </c>
      <c r="J77" s="3191"/>
      <c r="K77" s="3191"/>
      <c r="L77" s="3192"/>
      <c r="M77" s="917"/>
      <c r="N77" s="918"/>
      <c r="O77" s="918"/>
      <c r="P77" s="919"/>
      <c r="Q77" s="3187" t="s">
        <v>110</v>
      </c>
      <c r="R77" s="3188"/>
      <c r="S77" s="3188"/>
      <c r="T77" s="3189"/>
      <c r="U77" s="917"/>
      <c r="V77" s="918"/>
      <c r="W77" s="918"/>
      <c r="X77" s="919"/>
      <c r="Y77" s="3187" t="s">
        <v>110</v>
      </c>
      <c r="Z77" s="3188"/>
      <c r="AA77" s="3188"/>
      <c r="AB77" s="3189"/>
      <c r="AC77" s="917"/>
      <c r="AD77" s="918"/>
      <c r="AE77" s="918"/>
      <c r="AF77" s="919"/>
      <c r="AG77" s="79"/>
    </row>
    <row r="78" spans="1:56" ht="48" customHeight="1">
      <c r="A78" s="957">
        <v>1</v>
      </c>
      <c r="B78" s="3137" t="s">
        <v>1570</v>
      </c>
      <c r="C78" s="3138"/>
      <c r="D78" s="3138"/>
      <c r="E78" s="3139"/>
      <c r="F78" s="2856" t="s">
        <v>1641</v>
      </c>
      <c r="G78" s="897" t="str">
        <f>'XM.FILE GOC'!$E$37</f>
        <v>300-360</v>
      </c>
      <c r="H78" s="2202" t="str">
        <f>'XM.FILE GOC'!$F$37</f>
        <v>300-360</v>
      </c>
      <c r="I78" s="3098">
        <v>360</v>
      </c>
      <c r="J78" s="3099"/>
      <c r="K78" s="3099"/>
      <c r="L78" s="3099"/>
      <c r="M78" s="926"/>
      <c r="N78" s="904"/>
      <c r="O78" s="904"/>
      <c r="P78" s="927"/>
      <c r="Q78" s="3193">
        <v>350</v>
      </c>
      <c r="R78" s="3194"/>
      <c r="S78" s="3194"/>
      <c r="T78" s="3194"/>
      <c r="U78" s="926"/>
      <c r="V78" s="904"/>
      <c r="W78" s="904"/>
      <c r="X78" s="927"/>
      <c r="Y78" s="3193">
        <v>345</v>
      </c>
      <c r="Z78" s="3194"/>
      <c r="AA78" s="3194"/>
      <c r="AB78" s="3194"/>
      <c r="AC78" s="926"/>
      <c r="AD78" s="904"/>
      <c r="AE78" s="904"/>
      <c r="AF78" s="927"/>
      <c r="AG78" s="80"/>
    </row>
    <row r="79" spans="1:56" ht="48" customHeight="1">
      <c r="A79" s="957">
        <v>2</v>
      </c>
      <c r="B79" s="3137" t="s">
        <v>1568</v>
      </c>
      <c r="C79" s="3138"/>
      <c r="D79" s="3138"/>
      <c r="E79" s="3139"/>
      <c r="F79" s="2856" t="s">
        <v>1641</v>
      </c>
      <c r="G79" s="897" t="str">
        <f>'XM.FILE GOC'!$E$38</f>
        <v>30-50</v>
      </c>
      <c r="H79" s="2202" t="str">
        <f>'XM.FILE GOC'!$F$38</f>
        <v>30-50</v>
      </c>
      <c r="I79" s="3098">
        <v>42</v>
      </c>
      <c r="J79" s="3099"/>
      <c r="K79" s="3099"/>
      <c r="L79" s="3099"/>
      <c r="M79" s="928"/>
      <c r="N79" s="929"/>
      <c r="O79" s="929"/>
      <c r="P79" s="930"/>
      <c r="Q79" s="3193">
        <v>40</v>
      </c>
      <c r="R79" s="3194"/>
      <c r="S79" s="3194"/>
      <c r="T79" s="3194"/>
      <c r="U79" s="928"/>
      <c r="V79" s="929"/>
      <c r="W79" s="929"/>
      <c r="X79" s="930"/>
      <c r="Y79" s="3193">
        <v>41</v>
      </c>
      <c r="Z79" s="3194"/>
      <c r="AA79" s="3194"/>
      <c r="AB79" s="3194"/>
      <c r="AC79" s="928"/>
      <c r="AD79" s="929"/>
      <c r="AE79" s="929"/>
      <c r="AF79" s="930"/>
      <c r="AG79" s="80"/>
    </row>
  </sheetData>
  <sheetProtection selectLockedCells="1"/>
  <mergeCells count="256">
    <mergeCell ref="AS74:AT74"/>
    <mergeCell ref="AU74:AV74"/>
    <mergeCell ref="BA74:BB74"/>
    <mergeCell ref="BC74:BD74"/>
    <mergeCell ref="A4:A5"/>
    <mergeCell ref="G4:G5"/>
    <mergeCell ref="A14:A15"/>
    <mergeCell ref="I4:L4"/>
    <mergeCell ref="Q4:T4"/>
    <mergeCell ref="Y4:AB4"/>
    <mergeCell ref="J5:L5"/>
    <mergeCell ref="R5:T5"/>
    <mergeCell ref="Z5:AB5"/>
    <mergeCell ref="M4:P4"/>
    <mergeCell ref="N5:P5"/>
    <mergeCell ref="A6:A8"/>
    <mergeCell ref="A9:A11"/>
    <mergeCell ref="A12:A13"/>
    <mergeCell ref="AA27:AB27"/>
    <mergeCell ref="A16:A17"/>
    <mergeCell ref="I27:J27"/>
    <mergeCell ref="K27:L27"/>
    <mergeCell ref="A18:A19"/>
    <mergeCell ref="B24:E25"/>
    <mergeCell ref="I3:L3"/>
    <mergeCell ref="B12:C13"/>
    <mergeCell ref="D12:E12"/>
    <mergeCell ref="D13:E13"/>
    <mergeCell ref="B14:C15"/>
    <mergeCell ref="D14:E14"/>
    <mergeCell ref="D15:E15"/>
    <mergeCell ref="B4:E5"/>
    <mergeCell ref="B3:E3"/>
    <mergeCell ref="B6:C8"/>
    <mergeCell ref="D6:E6"/>
    <mergeCell ref="D7:E7"/>
    <mergeCell ref="D8:E8"/>
    <mergeCell ref="B9:C11"/>
    <mergeCell ref="D9:E9"/>
    <mergeCell ref="D10:E10"/>
    <mergeCell ref="D11:E11"/>
    <mergeCell ref="H4:H5"/>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I33:J33"/>
    <mergeCell ref="K33:L33"/>
    <mergeCell ref="Y33:Z33"/>
    <mergeCell ref="Y31:Z31"/>
    <mergeCell ref="I29:J29"/>
    <mergeCell ref="Y37:AB37"/>
    <mergeCell ref="Q74:R74"/>
    <mergeCell ref="I37:L37"/>
    <mergeCell ref="I34:J34"/>
    <mergeCell ref="K34:L34"/>
    <mergeCell ref="S34:T34"/>
    <mergeCell ref="Y34:Z34"/>
    <mergeCell ref="AA34:AB34"/>
    <mergeCell ref="I35:J35"/>
    <mergeCell ref="K35:L35"/>
    <mergeCell ref="Y35:Z35"/>
    <mergeCell ref="Q37:T37"/>
    <mergeCell ref="S69:T69"/>
    <mergeCell ref="Y69:Z69"/>
    <mergeCell ref="AA69:AB69"/>
    <mergeCell ref="Y70:Z70"/>
    <mergeCell ref="AA70:AB70"/>
    <mergeCell ref="Y71:Z71"/>
    <mergeCell ref="AA71:AB71"/>
    <mergeCell ref="I68:J68"/>
    <mergeCell ref="K68:L68"/>
    <mergeCell ref="I43:L43"/>
    <mergeCell ref="I44:L44"/>
    <mergeCell ref="Q44:T44"/>
    <mergeCell ref="I79:L79"/>
    <mergeCell ref="I72:J72"/>
    <mergeCell ref="AA75:AB75"/>
    <mergeCell ref="AA73:AB73"/>
    <mergeCell ref="Q79:T79"/>
    <mergeCell ref="S74:T74"/>
    <mergeCell ref="I78:L78"/>
    <mergeCell ref="Y73:Z73"/>
    <mergeCell ref="K72:L72"/>
    <mergeCell ref="I74:J74"/>
    <mergeCell ref="K74:L74"/>
    <mergeCell ref="I75:J75"/>
    <mergeCell ref="K75:L75"/>
    <mergeCell ref="Q75:R75"/>
    <mergeCell ref="S75:T75"/>
    <mergeCell ref="Y75:Z75"/>
    <mergeCell ref="AA72:AB72"/>
    <mergeCell ref="Y72:Z72"/>
    <mergeCell ref="Y79:AB79"/>
    <mergeCell ref="Q78:T78"/>
    <mergeCell ref="Y78:AB78"/>
    <mergeCell ref="A54:A55"/>
    <mergeCell ref="A56:A57"/>
    <mergeCell ref="A58:A59"/>
    <mergeCell ref="B60:E60"/>
    <mergeCell ref="B61:E61"/>
    <mergeCell ref="B57:E57"/>
    <mergeCell ref="B58:E59"/>
    <mergeCell ref="B62:E62"/>
    <mergeCell ref="B63:E63"/>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C44:AF44"/>
    <mergeCell ref="AD45:AF45"/>
    <mergeCell ref="AD43:AE43"/>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I39:L39"/>
    <mergeCell ref="M44:P44"/>
    <mergeCell ref="N45:P45"/>
    <mergeCell ref="U44:X44"/>
    <mergeCell ref="V45:X45"/>
    <mergeCell ref="A46:A48"/>
    <mergeCell ref="D48:E48"/>
    <mergeCell ref="H44:H45"/>
    <mergeCell ref="D49:E49"/>
    <mergeCell ref="D50:E50"/>
    <mergeCell ref="Y44:AB44"/>
    <mergeCell ref="J45:L45"/>
    <mergeCell ref="R45:T45"/>
    <mergeCell ref="Z45:AB45"/>
    <mergeCell ref="Q68:R68"/>
    <mergeCell ref="S68:T68"/>
    <mergeCell ref="Y68:Z68"/>
    <mergeCell ref="AA68:AB68"/>
    <mergeCell ref="I67:J67"/>
    <mergeCell ref="K67:L67"/>
    <mergeCell ref="AA67:AB67"/>
    <mergeCell ref="Q67:R67"/>
    <mergeCell ref="S67:T67"/>
    <mergeCell ref="Y67:Z67"/>
    <mergeCell ref="AF43:AG43"/>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C4:AF4"/>
    <mergeCell ref="V5:X5"/>
    <mergeCell ref="AD5:AF5"/>
    <mergeCell ref="AD2:AE2"/>
    <mergeCell ref="AD3:AE3"/>
    <mergeCell ref="AF2:AG2"/>
    <mergeCell ref="AF3:AG3"/>
    <mergeCell ref="U4:X4"/>
    <mergeCell ref="AA30:AB30"/>
    <mergeCell ref="Y29:Z29"/>
    <mergeCell ref="AA29:AB29"/>
    <mergeCell ref="AA31:AB31"/>
    <mergeCell ref="Y32:Z32"/>
    <mergeCell ref="AA32:AB32"/>
    <mergeCell ref="K30:L30"/>
    <mergeCell ref="K28:L28"/>
    <mergeCell ref="Y28:Z28"/>
    <mergeCell ref="Q35:R35"/>
    <mergeCell ref="S35:T35"/>
    <mergeCell ref="Y30:Z30"/>
    <mergeCell ref="AA35:AB35"/>
    <mergeCell ref="AA28:AB28"/>
    <mergeCell ref="AA33:AB33"/>
    <mergeCell ref="K29:L29"/>
    <mergeCell ref="Q29:R29"/>
    <mergeCell ref="S29:T29"/>
  </mergeCells>
  <phoneticPr fontId="7" type="noConversion"/>
  <conditionalFormatting sqref="I78 Q78 Y78 I38 Q38 Y38">
    <cfRule type="expression" dxfId="3628" priority="1953">
      <formula>I38&lt;300</formula>
    </cfRule>
    <cfRule type="expression" dxfId="3627" priority="1954">
      <formula>I38&gt;360</formula>
    </cfRule>
  </conditionalFormatting>
  <conditionalFormatting sqref="I79 Q79 Y79 Y39 I39 Q39">
    <cfRule type="expression" dxfId="3626" priority="1951">
      <formula>I39&lt;30</formula>
    </cfRule>
    <cfRule type="expression" dxfId="3625" priority="1952">
      <formula>I39&gt;50</formula>
    </cfRule>
  </conditionalFormatting>
  <conditionalFormatting sqref="AS74 AU74 BA74 BC74">
    <cfRule type="expression" dxfId="3624" priority="1517">
      <formula>AS74&lt;20</formula>
    </cfRule>
    <cfRule type="expression" dxfId="3623" priority="1518">
      <formula>AS74&gt;35</formula>
    </cfRule>
  </conditionalFormatting>
  <conditionalFormatting sqref="I32:L32 Q32:T32 Y32:AB32 I72:L72 Q72:T72 Y72:AB72">
    <cfRule type="cellIs" dxfId="3622" priority="645" operator="between">
      <formula>20</formula>
      <formula>25.9</formula>
    </cfRule>
    <cfRule type="cellIs" dxfId="3621" priority="646" operator="between">
      <formula>34.1</formula>
      <formula>35</formula>
    </cfRule>
    <cfRule type="expression" dxfId="3620" priority="647">
      <formula>I32&lt;20</formula>
    </cfRule>
    <cfRule type="expression" dxfId="3619" priority="648">
      <formula>I32&gt;35</formula>
    </cfRule>
  </conditionalFormatting>
  <conditionalFormatting sqref="I28:L29 Q28:T29 Y28:AB29 I68:L69 Q68:T69 Y68:AB69">
    <cfRule type="cellIs" dxfId="3618" priority="641" operator="between">
      <formula>50</formula>
      <formula>54.9</formula>
    </cfRule>
    <cfRule type="cellIs" dxfId="3617" priority="642" operator="between">
      <formula>65.1</formula>
      <formula>70</formula>
    </cfRule>
    <cfRule type="expression" dxfId="3616" priority="643">
      <formula>I28&lt;50</formula>
    </cfRule>
    <cfRule type="expression" dxfId="3615" priority="644">
      <formula>I28&gt;70</formula>
    </cfRule>
  </conditionalFormatting>
  <conditionalFormatting sqref="K73 K33 I33 S33 Q33 AA33 Y33 I73 S73 Q73 AA73 Y73">
    <cfRule type="cellIs" dxfId="3614" priority="632" operator="between">
      <formula>30</formula>
      <formula>30.9</formula>
    </cfRule>
    <cfRule type="cellIs" dxfId="3613" priority="633" operator="between">
      <formula>37.1</formula>
      <formula>40</formula>
    </cfRule>
    <cfRule type="expression" dxfId="3612" priority="634">
      <formula>I33&lt;30</formula>
    </cfRule>
    <cfRule type="expression" dxfId="3611" priority="635">
      <formula>I33&gt;40</formula>
    </cfRule>
  </conditionalFormatting>
  <conditionalFormatting sqref="K75 K35 S35 AA35 S75 AA75">
    <cfRule type="cellIs" dxfId="3610" priority="628" operator="between">
      <formula>80</formula>
      <formula>84.9</formula>
    </cfRule>
    <cfRule type="cellIs" dxfId="3609" priority="629" operator="between">
      <formula>95.1</formula>
      <formula>100</formula>
    </cfRule>
    <cfRule type="expression" dxfId="3608" priority="630">
      <formula>K35&lt;80</formula>
    </cfRule>
    <cfRule type="expression" dxfId="3607" priority="631">
      <formula>K35&gt;100</formula>
    </cfRule>
  </conditionalFormatting>
  <conditionalFormatting sqref="K74 K34 I34 S34 Q34 AA34 Y34 I74 S74 Q74 AA74 Y74">
    <cfRule type="expression" dxfId="3606" priority="626">
      <formula>I34&lt;50</formula>
    </cfRule>
    <cfRule type="expression" dxfId="3605" priority="627">
      <formula>I34&gt;70</formula>
    </cfRule>
  </conditionalFormatting>
  <conditionalFormatting sqref="I16 Q16 Y16 I56 Q56 Y56">
    <cfRule type="cellIs" dxfId="3604" priority="393" operator="between">
      <formula>130</formula>
      <formula>132.99</formula>
    </cfRule>
    <cfRule type="cellIs" dxfId="3603" priority="394" operator="between">
      <formula>147.1</formula>
      <formula>150</formula>
    </cfRule>
    <cfRule type="expression" dxfId="3602" priority="395">
      <formula>I16&lt;130</formula>
    </cfRule>
    <cfRule type="expression" dxfId="3601" priority="396">
      <formula>I16&gt;150</formula>
    </cfRule>
  </conditionalFormatting>
  <conditionalFormatting sqref="I17 Q17 Y17 I57 Q57 Y57">
    <cfRule type="expression" dxfId="3600" priority="391">
      <formula>I17&lt;8</formula>
    </cfRule>
    <cfRule type="expression" dxfId="3599" priority="392">
      <formula>I17&gt;12</formula>
    </cfRule>
  </conditionalFormatting>
  <conditionalFormatting sqref="I21 Q21 Y21 I61 Q61 Y61">
    <cfRule type="cellIs" dxfId="3598" priority="384" operator="between">
      <formula>15%</formula>
      <formula>16.99%</formula>
    </cfRule>
    <cfRule type="cellIs" dxfId="3597" priority="385" operator="between">
      <formula>27.01%</formula>
      <formula>30%</formula>
    </cfRule>
    <cfRule type="expression" dxfId="3596" priority="386">
      <formula>I21&lt;15%</formula>
    </cfRule>
    <cfRule type="expression" dxfId="3595" priority="387">
      <formula>I21&gt;30%</formula>
    </cfRule>
  </conditionalFormatting>
  <conditionalFormatting sqref="I22 Q22 Y22 I62 Q62 Y62">
    <cfRule type="cellIs" dxfId="3594" priority="380" operator="between">
      <formula>5%</formula>
      <formula>6.99%</formula>
    </cfRule>
    <cfRule type="cellIs" dxfId="3593" priority="381" operator="between">
      <formula>12.99%</formula>
      <formula>15%</formula>
    </cfRule>
    <cfRule type="expression" dxfId="3592" priority="382">
      <formula>I22&lt;5%</formula>
    </cfRule>
    <cfRule type="expression" dxfId="3591" priority="383">
      <formula>I22&gt;15%</formula>
    </cfRule>
  </conditionalFormatting>
  <conditionalFormatting sqref="I6 I9 Q6 Q9 Y6 Y9 I46 I49 Q46 Q49 Y46 Y49">
    <cfRule type="cellIs" dxfId="3590" priority="376" operator="between">
      <formula>20</formula>
      <formula>24.99</formula>
    </cfRule>
    <cfRule type="cellIs" dxfId="3589" priority="377" operator="between">
      <formula>35.1</formula>
      <formula>40</formula>
    </cfRule>
    <cfRule type="expression" dxfId="3588" priority="378">
      <formula>I6&lt;20</formula>
    </cfRule>
    <cfRule type="expression" dxfId="3587" priority="379">
      <formula>I6&gt;40</formula>
    </cfRule>
  </conditionalFormatting>
  <conditionalFormatting sqref="I12 I14 Q12 Q14 Y12 Y14 I52 I54 Q52 Q54 Y52 Y54">
    <cfRule type="expression" dxfId="3586" priority="374" stopIfTrue="1">
      <formula>I12&gt;80</formula>
    </cfRule>
    <cfRule type="expression" dxfId="3585" priority="375" stopIfTrue="1">
      <formula>I12&lt;60</formula>
    </cfRule>
  </conditionalFormatting>
  <conditionalFormatting sqref="I20 Q20 Y20 I60 Q60 Y60">
    <cfRule type="cellIs" dxfId="3584" priority="370" operator="between">
      <formula>30%</formula>
      <formula>39.99%</formula>
    </cfRule>
    <cfRule type="cellIs" dxfId="3583" priority="371" operator="between">
      <formula>50.01%</formula>
      <formula>60%</formula>
    </cfRule>
    <cfRule type="expression" dxfId="3582" priority="372">
      <formula>I20&lt;30%</formula>
    </cfRule>
    <cfRule type="expression" dxfId="3581" priority="373">
      <formula>I20&gt;60%</formula>
    </cfRule>
  </conditionalFormatting>
  <conditionalFormatting sqref="I18 Q18 Y18 I58 Q58 Y58">
    <cfRule type="cellIs" dxfId="3580" priority="367" operator="between">
      <formula>16.1</formula>
      <formula>18</formula>
    </cfRule>
    <cfRule type="expression" dxfId="3579" priority="368">
      <formula>I18&lt;12</formula>
    </cfRule>
    <cfRule type="expression" dxfId="3578" priority="369">
      <formula>I18&gt;18</formula>
    </cfRule>
  </conditionalFormatting>
  <conditionalFormatting sqref="I64 Q64 Y64 I24 Q24 Y24">
    <cfRule type="cellIs" dxfId="3577" priority="189" operator="between">
      <formula>5</formula>
      <formula>6.49</formula>
    </cfRule>
    <cfRule type="cellIs" dxfId="3576" priority="190" operator="between">
      <formula>8.51</formula>
      <formula>10</formula>
    </cfRule>
    <cfRule type="expression" dxfId="3575" priority="191">
      <formula>I24&lt;5</formula>
    </cfRule>
    <cfRule type="expression" dxfId="3574" priority="192">
      <formula>I24&gt;10</formula>
    </cfRule>
  </conditionalFormatting>
  <conditionalFormatting sqref="I70:I71 K70:K71 Q70:Q71 S70:S71 Y70:Y71 AA70:AA71 I30:I31 K30:K31 Q30:Q31 S30:S31 Y30:Y31 AA30:AA31">
    <cfRule type="expression" dxfId="3573" priority="143">
      <formula>I30&lt;45</formula>
    </cfRule>
    <cfRule type="expression" dxfId="3572" priority="144">
      <formula>I30&gt;55</formula>
    </cfRule>
  </conditionalFormatting>
  <conditionalFormatting sqref="I59">
    <cfRule type="cellIs" dxfId="3571" priority="69" operator="between">
      <formula>1.5</formula>
      <formula>1.599</formula>
    </cfRule>
    <cfRule type="cellIs" dxfId="3570" priority="70" operator="between">
      <formula>1.811</formula>
      <formula>1.9</formula>
    </cfRule>
    <cfRule type="expression" dxfId="3569" priority="71">
      <formula>I59&lt;1.5</formula>
    </cfRule>
    <cfRule type="expression" dxfId="3568" priority="72">
      <formula>I59&gt;1.9</formula>
    </cfRule>
  </conditionalFormatting>
  <conditionalFormatting sqref="Q59">
    <cfRule type="cellIs" dxfId="3567" priority="65" operator="between">
      <formula>1.5</formula>
      <formula>1.599</formula>
    </cfRule>
    <cfRule type="cellIs" dxfId="3566" priority="66" operator="between">
      <formula>1.811</formula>
      <formula>1.9</formula>
    </cfRule>
    <cfRule type="expression" dxfId="3565" priority="67">
      <formula>Q59&lt;1.5</formula>
    </cfRule>
    <cfRule type="expression" dxfId="3564" priority="68">
      <formula>Q59&gt;1.9</formula>
    </cfRule>
  </conditionalFormatting>
  <conditionalFormatting sqref="Y59">
    <cfRule type="cellIs" dxfId="3563" priority="61" operator="between">
      <formula>1.5</formula>
      <formula>1.599</formula>
    </cfRule>
    <cfRule type="cellIs" dxfId="3562" priority="62" operator="between">
      <formula>1.811</formula>
      <formula>1.9</formula>
    </cfRule>
    <cfRule type="expression" dxfId="3561" priority="63">
      <formula>Y59&lt;1.5</formula>
    </cfRule>
    <cfRule type="expression" dxfId="3560" priority="64">
      <formula>Y59&gt;1.9</formula>
    </cfRule>
  </conditionalFormatting>
  <conditionalFormatting sqref="I19">
    <cfRule type="cellIs" dxfId="3559" priority="57" operator="between">
      <formula>1.5</formula>
      <formula>1.599</formula>
    </cfRule>
    <cfRule type="cellIs" dxfId="3558" priority="58" operator="between">
      <formula>1.811</formula>
      <formula>1.9</formula>
    </cfRule>
    <cfRule type="expression" dxfId="3557" priority="59">
      <formula>I19&lt;1.5</formula>
    </cfRule>
    <cfRule type="expression" dxfId="3556" priority="60">
      <formula>I19&gt;1.9</formula>
    </cfRule>
  </conditionalFormatting>
  <conditionalFormatting sqref="Q19">
    <cfRule type="cellIs" dxfId="3555" priority="53" operator="between">
      <formula>1.5</formula>
      <formula>1.599</formula>
    </cfRule>
    <cfRule type="cellIs" dxfId="3554" priority="54" operator="between">
      <formula>1.811</formula>
      <formula>1.9</formula>
    </cfRule>
    <cfRule type="expression" dxfId="3553" priority="55">
      <formula>Q19&lt;1.5</formula>
    </cfRule>
    <cfRule type="expression" dxfId="3552" priority="56">
      <formula>Q19&gt;1.9</formula>
    </cfRule>
  </conditionalFormatting>
  <conditionalFormatting sqref="Y19">
    <cfRule type="cellIs" dxfId="3551" priority="49" operator="between">
      <formula>1.5</formula>
      <formula>1.599</formula>
    </cfRule>
    <cfRule type="cellIs" dxfId="3550" priority="50" operator="between">
      <formula>1.811</formula>
      <formula>1.9</formula>
    </cfRule>
    <cfRule type="expression" dxfId="3549" priority="51">
      <formula>Y19&lt;1.5</formula>
    </cfRule>
    <cfRule type="expression" dxfId="3548" priority="52">
      <formula>Y19&gt;1.9</formula>
    </cfRule>
  </conditionalFormatting>
  <conditionalFormatting sqref="I25">
    <cfRule type="cellIs" dxfId="3547" priority="45" operator="between">
      <formula>2</formula>
      <formula>2.099</formula>
    </cfRule>
    <cfRule type="cellIs" dxfId="3546" priority="46" operator="between">
      <formula>2.31</formula>
      <formula>2.4</formula>
    </cfRule>
    <cfRule type="expression" dxfId="3545" priority="47">
      <formula>I25&lt;2</formula>
    </cfRule>
    <cfRule type="expression" dxfId="3544" priority="48">
      <formula>I25&gt;2.4</formula>
    </cfRule>
  </conditionalFormatting>
  <conditionalFormatting sqref="Q25">
    <cfRule type="cellIs" dxfId="3543" priority="41" operator="between">
      <formula>2</formula>
      <formula>2.099</formula>
    </cfRule>
    <cfRule type="cellIs" dxfId="3542" priority="42" operator="between">
      <formula>2.31</formula>
      <formula>2.4</formula>
    </cfRule>
    <cfRule type="expression" dxfId="3541" priority="43">
      <formula>Q25&lt;2</formula>
    </cfRule>
    <cfRule type="expression" dxfId="3540" priority="44">
      <formula>Q25&gt;2.4</formula>
    </cfRule>
  </conditionalFormatting>
  <conditionalFormatting sqref="Y25">
    <cfRule type="cellIs" dxfId="3539" priority="37" operator="between">
      <formula>2</formula>
      <formula>2.099</formula>
    </cfRule>
    <cfRule type="cellIs" dxfId="3538" priority="38" operator="between">
      <formula>2.31</formula>
      <formula>2.4</formula>
    </cfRule>
    <cfRule type="expression" dxfId="3537" priority="39">
      <formula>Y25&lt;2</formula>
    </cfRule>
    <cfRule type="expression" dxfId="3536" priority="40">
      <formula>Y25&gt;2.4</formula>
    </cfRule>
  </conditionalFormatting>
  <conditionalFormatting sqref="I65">
    <cfRule type="cellIs" dxfId="3535" priority="33" operator="between">
      <formula>2</formula>
      <formula>2.099</formula>
    </cfRule>
    <cfRule type="cellIs" dxfId="3534" priority="34" operator="between">
      <formula>2.31</formula>
      <formula>2.4</formula>
    </cfRule>
    <cfRule type="expression" dxfId="3533" priority="35">
      <formula>I65&lt;2</formula>
    </cfRule>
    <cfRule type="expression" dxfId="3532" priority="36">
      <formula>I65&gt;2.4</formula>
    </cfRule>
  </conditionalFormatting>
  <conditionalFormatting sqref="Q65">
    <cfRule type="cellIs" dxfId="3531" priority="29" operator="between">
      <formula>2</formula>
      <formula>2.099</formula>
    </cfRule>
    <cfRule type="cellIs" dxfId="3530" priority="30" operator="between">
      <formula>2.31</formula>
      <formula>2.4</formula>
    </cfRule>
    <cfRule type="expression" dxfId="3529" priority="31">
      <formula>Q65&lt;2</formula>
    </cfRule>
    <cfRule type="expression" dxfId="3528" priority="32">
      <formula>Q65&gt;2.4</formula>
    </cfRule>
  </conditionalFormatting>
  <conditionalFormatting sqref="Y65">
    <cfRule type="cellIs" dxfId="3527" priority="25" operator="between">
      <formula>2</formula>
      <formula>2.099</formula>
    </cfRule>
    <cfRule type="cellIs" dxfId="3526" priority="26" operator="between">
      <formula>2.31</formula>
      <formula>2.4</formula>
    </cfRule>
    <cfRule type="expression" dxfId="3525" priority="27">
      <formula>Y65&lt;2</formula>
    </cfRule>
    <cfRule type="expression" dxfId="3524" priority="28">
      <formula>Y65&gt;2.4</formula>
    </cfRule>
  </conditionalFormatting>
  <conditionalFormatting sqref="I23">
    <cfRule type="cellIs" dxfId="3523" priority="21" operator="between">
      <formula>0.5%</formula>
      <formula>0.599%</formula>
    </cfRule>
    <cfRule type="cellIs" dxfId="3522" priority="22" operator="between">
      <formula>0.81%</formula>
      <formula>1%</formula>
    </cfRule>
    <cfRule type="expression" dxfId="3521" priority="23">
      <formula>I23&lt;0.5%</formula>
    </cfRule>
    <cfRule type="expression" dxfId="3520" priority="24">
      <formula>I23&gt;1%</formula>
    </cfRule>
  </conditionalFormatting>
  <conditionalFormatting sqref="Q23">
    <cfRule type="cellIs" dxfId="3519" priority="17" operator="between">
      <formula>0.5%</formula>
      <formula>0.599%</formula>
    </cfRule>
    <cfRule type="cellIs" dxfId="3518" priority="18" operator="between">
      <formula>0.81%</formula>
      <formula>1%</formula>
    </cfRule>
    <cfRule type="expression" dxfId="3517" priority="19">
      <formula>Q23&lt;0.5%</formula>
    </cfRule>
    <cfRule type="expression" dxfId="3516" priority="20">
      <formula>Q23&gt;1%</formula>
    </cfRule>
  </conditionalFormatting>
  <conditionalFormatting sqref="Y23">
    <cfRule type="cellIs" dxfId="3515" priority="13" operator="between">
      <formula>0.5%</formula>
      <formula>0.599%</formula>
    </cfRule>
    <cfRule type="cellIs" dxfId="3514" priority="14" operator="between">
      <formula>0.81%</formula>
      <formula>1%</formula>
    </cfRule>
    <cfRule type="expression" dxfId="3513" priority="15">
      <formula>Y23&lt;0.5%</formula>
    </cfRule>
    <cfRule type="expression" dxfId="3512" priority="16">
      <formula>Y23&gt;1%</formula>
    </cfRule>
  </conditionalFormatting>
  <conditionalFormatting sqref="I63">
    <cfRule type="cellIs" dxfId="3511" priority="9" operator="between">
      <formula>0.5%</formula>
      <formula>0.599%</formula>
    </cfRule>
    <cfRule type="cellIs" dxfId="3510" priority="10" operator="between">
      <formula>0.81%</formula>
      <formula>1%</formula>
    </cfRule>
    <cfRule type="expression" dxfId="3509" priority="11">
      <formula>I63&lt;0.5%</formula>
    </cfRule>
    <cfRule type="expression" dxfId="3508" priority="12">
      <formula>I63&gt;1%</formula>
    </cfRule>
  </conditionalFormatting>
  <conditionalFormatting sqref="Q63">
    <cfRule type="cellIs" dxfId="3507" priority="5" operator="between">
      <formula>0.5%</formula>
      <formula>0.599%</formula>
    </cfRule>
    <cfRule type="cellIs" dxfId="3506" priority="6" operator="between">
      <formula>0.81%</formula>
      <formula>1%</formula>
    </cfRule>
    <cfRule type="expression" dxfId="3505" priority="7">
      <formula>Q63&lt;0.5%</formula>
    </cfRule>
    <cfRule type="expression" dxfId="3504" priority="8">
      <formula>Q63&gt;1%</formula>
    </cfRule>
  </conditionalFormatting>
  <conditionalFormatting sqref="Y63">
    <cfRule type="cellIs" dxfId="3503" priority="1" operator="between">
      <formula>0.5%</formula>
      <formula>0.599%</formula>
    </cfRule>
    <cfRule type="cellIs" dxfId="3502" priority="2" operator="between">
      <formula>0.81%</formula>
      <formula>1%</formula>
    </cfRule>
    <cfRule type="expression" dxfId="3501" priority="3">
      <formula>Y63&lt;0.5%</formula>
    </cfRule>
    <cfRule type="expression" dxfId="3500" priority="4">
      <formula>Y63&gt;1%</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topLeftCell="A41" zoomScale="55" zoomScaleNormal="55" zoomScaleSheetLayoutView="55" workbookViewId="0">
      <selection activeCell="Y70" sqref="Y70:Z70"/>
    </sheetView>
  </sheetViews>
  <sheetFormatPr defaultRowHeight="15"/>
  <cols>
    <col min="1" max="1" width="3.625" style="244" customWidth="1"/>
    <col min="2" max="2" width="8.5" style="598" customWidth="1"/>
    <col min="3" max="3" width="3.625" style="598" customWidth="1"/>
    <col min="4" max="4" width="2.875" style="598" customWidth="1"/>
    <col min="5" max="5" width="6.25" style="598" customWidth="1"/>
    <col min="6" max="6" width="7.25" style="244" customWidth="1"/>
    <col min="7" max="7" width="14.875" style="599" customWidth="1"/>
    <col min="8" max="8" width="10.875" style="599" customWidth="1"/>
    <col min="9" max="9" width="7.875" style="244" customWidth="1"/>
    <col min="10" max="10" width="3.125" style="244" customWidth="1"/>
    <col min="11" max="11" width="8" style="244" customWidth="1"/>
    <col min="12" max="12" width="4.5" style="244" customWidth="1"/>
    <col min="13" max="13" width="7.125" style="245" customWidth="1"/>
    <col min="14" max="14" width="4.5" style="245" customWidth="1"/>
    <col min="15" max="15" width="7" style="245" customWidth="1"/>
    <col min="16" max="16" width="4.5" style="245" customWidth="1"/>
    <col min="17" max="17" width="7.375" style="244" customWidth="1"/>
    <col min="18" max="18" width="3.25" style="244" customWidth="1"/>
    <col min="19" max="19" width="8.125" style="244" customWidth="1"/>
    <col min="20" max="20" width="4.25" style="244" customWidth="1"/>
    <col min="21" max="21" width="7.5" style="245" customWidth="1"/>
    <col min="22" max="22" width="4.25" style="245" customWidth="1"/>
    <col min="23" max="23" width="7" style="245" customWidth="1"/>
    <col min="24" max="24" width="3.75" style="245" customWidth="1"/>
    <col min="25" max="25" width="7.625" style="244" customWidth="1"/>
    <col min="26" max="26" width="3.25" style="244" customWidth="1"/>
    <col min="27" max="27" width="7.75" style="244" customWidth="1"/>
    <col min="28" max="28" width="4.5" style="244" customWidth="1"/>
    <col min="29" max="29" width="7.25" style="245" customWidth="1"/>
    <col min="30" max="30" width="3.625" style="245" customWidth="1"/>
    <col min="31" max="31" width="7.125" style="245" customWidth="1"/>
    <col min="32" max="32" width="4.5" style="245" customWidth="1"/>
    <col min="33" max="33" width="12.25" style="19" customWidth="1"/>
    <col min="34" max="16384" width="9" style="19"/>
  </cols>
  <sheetData>
    <row r="1" spans="1:33" ht="28.5" customHeight="1">
      <c r="B1" s="2409" t="s">
        <v>129</v>
      </c>
      <c r="C1" s="2409"/>
      <c r="D1" s="2409"/>
      <c r="E1" s="2409"/>
      <c r="F1" s="2409"/>
      <c r="G1" s="2409"/>
      <c r="H1" s="2409"/>
      <c r="I1" s="2409"/>
      <c r="J1" s="2409"/>
      <c r="K1" s="2409"/>
      <c r="L1" s="2409"/>
      <c r="M1" s="2409"/>
      <c r="N1" s="2409"/>
      <c r="O1" s="2409"/>
      <c r="P1" s="2409"/>
      <c r="Q1" s="2409"/>
      <c r="R1" s="2409"/>
      <c r="S1" s="2409"/>
      <c r="T1" s="2409"/>
      <c r="U1" s="2409"/>
      <c r="V1" s="2409"/>
      <c r="W1" s="2409"/>
      <c r="X1" s="2409"/>
      <c r="Y1" s="2409"/>
      <c r="Z1" s="2409"/>
      <c r="AA1" s="2410"/>
      <c r="AB1" s="2410"/>
      <c r="AC1" s="2411"/>
      <c r="AD1" s="938"/>
      <c r="AE1" s="938"/>
      <c r="AF1" s="938"/>
      <c r="AG1" s="903"/>
    </row>
    <row r="2" spans="1:33" ht="46.5" customHeight="1">
      <c r="B2" s="2407" t="s">
        <v>217</v>
      </c>
      <c r="C2" s="2407"/>
      <c r="D2" s="2407"/>
      <c r="E2" s="2407"/>
      <c r="F2" s="2407"/>
      <c r="G2" s="2407"/>
      <c r="H2" s="2407"/>
      <c r="I2" s="2407"/>
      <c r="J2" s="2407"/>
      <c r="K2" s="2407"/>
      <c r="L2" s="2407"/>
      <c r="M2" s="2407"/>
      <c r="N2" s="2407"/>
      <c r="O2" s="2407"/>
      <c r="P2" s="2407"/>
      <c r="Q2" s="2407"/>
      <c r="R2" s="2407"/>
      <c r="S2" s="2407"/>
      <c r="T2" s="2407"/>
      <c r="U2" s="2407"/>
      <c r="V2" s="2407"/>
      <c r="W2" s="2407"/>
      <c r="X2" s="2407"/>
      <c r="Y2" s="2407"/>
      <c r="Z2" s="2407"/>
      <c r="AA2" s="2412"/>
      <c r="AB2" s="2412"/>
      <c r="AC2" s="2413"/>
      <c r="AD2" s="3128" t="s">
        <v>87</v>
      </c>
      <c r="AE2" s="3128"/>
      <c r="AF2" s="3130" t="s">
        <v>88</v>
      </c>
      <c r="AG2" s="3131"/>
    </row>
    <row r="3" spans="1:33" ht="45.75" customHeight="1">
      <c r="A3" s="960"/>
      <c r="B3" s="3166" t="s">
        <v>213</v>
      </c>
      <c r="C3" s="3166"/>
      <c r="D3" s="580"/>
      <c r="E3" s="581"/>
      <c r="F3" s="961"/>
      <c r="G3" s="1388" t="s">
        <v>1594</v>
      </c>
      <c r="H3" s="1812" t="str">
        <f>MENU!$AC$9</f>
        <v>Thứ 5,</v>
      </c>
      <c r="I3" s="3196" t="str">
        <f>MENU!$AD$9</f>
        <v>2024/08/01</v>
      </c>
      <c r="J3" s="3212"/>
      <c r="K3" s="3212"/>
      <c r="L3" s="3212"/>
      <c r="M3" s="934"/>
      <c r="N3" s="934"/>
      <c r="O3" s="934"/>
      <c r="P3" s="934"/>
      <c r="Q3" s="582"/>
      <c r="R3" s="963"/>
      <c r="S3" s="963"/>
      <c r="Z3" s="964"/>
      <c r="AA3" s="3208"/>
      <c r="AB3" s="3208"/>
      <c r="AC3" s="940"/>
      <c r="AD3" s="3129" t="str">
        <f>MENU!AE6</f>
        <v>L.Yen</v>
      </c>
      <c r="AE3" s="3129"/>
      <c r="AF3" s="3132" t="s">
        <v>11</v>
      </c>
      <c r="AG3" s="3133"/>
    </row>
    <row r="4" spans="1:33" s="51" customFormat="1" ht="51" customHeight="1">
      <c r="A4" s="3150" t="s">
        <v>7</v>
      </c>
      <c r="B4" s="3151" t="s">
        <v>75</v>
      </c>
      <c r="C4" s="3152"/>
      <c r="D4" s="3152"/>
      <c r="E4" s="3153"/>
      <c r="F4" s="3149" t="s">
        <v>123</v>
      </c>
      <c r="G4" s="3180" t="s">
        <v>1296</v>
      </c>
      <c r="H4" s="3185" t="s">
        <v>1289</v>
      </c>
      <c r="I4" s="3209">
        <v>0.30208333333333331</v>
      </c>
      <c r="J4" s="3168"/>
      <c r="K4" s="3168"/>
      <c r="L4" s="3169"/>
      <c r="M4" s="3123" t="s">
        <v>929</v>
      </c>
      <c r="N4" s="3124"/>
      <c r="O4" s="3124"/>
      <c r="P4" s="3125"/>
      <c r="Q4" s="3167">
        <v>0.46875</v>
      </c>
      <c r="R4" s="3168"/>
      <c r="S4" s="3168"/>
      <c r="T4" s="3169"/>
      <c r="U4" s="3123" t="s">
        <v>929</v>
      </c>
      <c r="V4" s="3124"/>
      <c r="W4" s="3124"/>
      <c r="X4" s="3125"/>
      <c r="Y4" s="3210">
        <v>0.63541666666666663</v>
      </c>
      <c r="Z4" s="3149"/>
      <c r="AA4" s="3149"/>
      <c r="AB4" s="3149"/>
      <c r="AC4" s="3123" t="s">
        <v>929</v>
      </c>
      <c r="AD4" s="3124"/>
      <c r="AE4" s="3124"/>
      <c r="AF4" s="3125"/>
      <c r="AG4" s="3205" t="s">
        <v>89</v>
      </c>
    </row>
    <row r="5" spans="1:33" s="51" customFormat="1" ht="51" customHeight="1">
      <c r="A5" s="3150"/>
      <c r="B5" s="3154"/>
      <c r="C5" s="3155"/>
      <c r="D5" s="3155"/>
      <c r="E5" s="3156"/>
      <c r="F5" s="3150"/>
      <c r="G5" s="3181"/>
      <c r="H5" s="3186"/>
      <c r="I5" s="2189" t="s">
        <v>128</v>
      </c>
      <c r="J5" s="3173" t="s">
        <v>1</v>
      </c>
      <c r="K5" s="3174"/>
      <c r="L5" s="3175"/>
      <c r="M5" s="906" t="s">
        <v>933</v>
      </c>
      <c r="N5" s="3126" t="s">
        <v>1</v>
      </c>
      <c r="O5" s="3126"/>
      <c r="P5" s="3127"/>
      <c r="Q5" s="948" t="s">
        <v>128</v>
      </c>
      <c r="R5" s="3173" t="s">
        <v>1</v>
      </c>
      <c r="S5" s="3174"/>
      <c r="T5" s="3175"/>
      <c r="U5" s="906" t="s">
        <v>933</v>
      </c>
      <c r="V5" s="3126" t="s">
        <v>1</v>
      </c>
      <c r="W5" s="3126"/>
      <c r="X5" s="3127"/>
      <c r="Y5" s="965" t="s">
        <v>128</v>
      </c>
      <c r="Z5" s="3150" t="s">
        <v>1</v>
      </c>
      <c r="AA5" s="3150"/>
      <c r="AB5" s="3150"/>
      <c r="AC5" s="906" t="s">
        <v>933</v>
      </c>
      <c r="AD5" s="3126" t="s">
        <v>1</v>
      </c>
      <c r="AE5" s="3126"/>
      <c r="AF5" s="3127"/>
      <c r="AG5" s="3205"/>
    </row>
    <row r="6" spans="1:33" ht="51" customHeight="1">
      <c r="A6" s="3206">
        <v>1</v>
      </c>
      <c r="B6" s="3151" t="s">
        <v>130</v>
      </c>
      <c r="C6" s="3157"/>
      <c r="D6" s="3164" t="s">
        <v>229</v>
      </c>
      <c r="E6" s="3165"/>
      <c r="F6" s="46" t="s">
        <v>4</v>
      </c>
      <c r="G6" s="897" t="str">
        <f>'XM.FILE GOC'!$E$43</f>
        <v>60~80</v>
      </c>
      <c r="H6" s="2202" t="str">
        <f>'XM.FILE GOC'!$F$43</f>
        <v>(70±5)</v>
      </c>
      <c r="I6" s="2205">
        <f>'XM.FILE GOC'!I43</f>
        <v>71.39</v>
      </c>
      <c r="J6" s="58" t="s">
        <v>8</v>
      </c>
      <c r="K6" s="586">
        <f>'XM.FILE GOC'!L43</f>
        <v>0</v>
      </c>
      <c r="L6" s="587" t="s">
        <v>9</v>
      </c>
      <c r="M6" s="907"/>
      <c r="N6" s="910" t="str">
        <f>IF(M6="","","+")</f>
        <v/>
      </c>
      <c r="O6" s="933" t="str">
        <f>IF(M6="","",('XM.FILE GOC'!$G$43-M6)*2693/1000)</f>
        <v/>
      </c>
      <c r="P6" s="2895" t="str">
        <f>IF(O6="","","kg")</f>
        <v/>
      </c>
      <c r="Q6" s="1398">
        <f>'XM.FILE GOC'!P43</f>
        <v>72.688000000000002</v>
      </c>
      <c r="R6" s="58" t="s">
        <v>8</v>
      </c>
      <c r="S6" s="586">
        <f>'XM.FILE GOC'!S43</f>
        <v>0</v>
      </c>
      <c r="T6" s="587" t="s">
        <v>9</v>
      </c>
      <c r="U6" s="907"/>
      <c r="V6" s="910" t="str">
        <f>IF(U6="","","+")</f>
        <v/>
      </c>
      <c r="W6" s="933" t="str">
        <f>IF(U6="","",('XM.FILE GOC'!$G$43-U6)*2693/1000)</f>
        <v/>
      </c>
      <c r="X6" s="2895" t="str">
        <f>IF(W6="","","kg")</f>
        <v/>
      </c>
      <c r="Y6" s="1398">
        <f>'XM.FILE GOC'!W43</f>
        <v>72.363500000000002</v>
      </c>
      <c r="Z6" s="58" t="s">
        <v>8</v>
      </c>
      <c r="AA6" s="586">
        <f>'XM.FILE GOC'!Z43</f>
        <v>0</v>
      </c>
      <c r="AB6" s="587" t="s">
        <v>9</v>
      </c>
      <c r="AC6" s="907"/>
      <c r="AD6" s="910" t="str">
        <f>IF(AC6="","","+")</f>
        <v/>
      </c>
      <c r="AE6" s="933" t="str">
        <f>IF(AC6="","",('XM.FILE GOC'!$G$43-AC6)*2693/1000)</f>
        <v/>
      </c>
      <c r="AF6" s="2895" t="str">
        <f>IF(AE6="","","kg")</f>
        <v/>
      </c>
      <c r="AG6" s="71" t="s">
        <v>12</v>
      </c>
    </row>
    <row r="7" spans="1:33" ht="51" customHeight="1">
      <c r="A7" s="3207"/>
      <c r="B7" s="3211"/>
      <c r="C7" s="3159"/>
      <c r="D7" s="3164" t="s">
        <v>230</v>
      </c>
      <c r="E7" s="3165"/>
      <c r="F7" s="263"/>
      <c r="G7" s="897" t="s">
        <v>939</v>
      </c>
      <c r="H7" s="2202"/>
      <c r="I7" s="2191"/>
      <c r="J7" s="58"/>
      <c r="K7" s="952">
        <f>K6/25*7.5</f>
        <v>0</v>
      </c>
      <c r="L7" s="587" t="s">
        <v>10</v>
      </c>
      <c r="M7" s="907"/>
      <c r="N7" s="910" t="str">
        <f>IF(M6="","","+")</f>
        <v/>
      </c>
      <c r="O7" s="1586" t="str">
        <f>IF(O6="","",O6/25*7.5)</f>
        <v/>
      </c>
      <c r="P7" s="2895" t="str">
        <f>IF(O6="","","L")</f>
        <v/>
      </c>
      <c r="Q7" s="1676"/>
      <c r="R7" s="58"/>
      <c r="S7" s="952">
        <f>S6/25*7.5</f>
        <v>0</v>
      </c>
      <c r="T7" s="587" t="s">
        <v>10</v>
      </c>
      <c r="U7" s="907"/>
      <c r="V7" s="910" t="str">
        <f>IF(U6="","","+")</f>
        <v/>
      </c>
      <c r="W7" s="1586" t="str">
        <f>IF(W6="","",W6/25*7.5)</f>
        <v/>
      </c>
      <c r="X7" s="2895" t="str">
        <f>IF(W6="","","L")</f>
        <v/>
      </c>
      <c r="Y7" s="1676"/>
      <c r="Z7" s="58"/>
      <c r="AA7" s="952">
        <f>AA6/25*7.5</f>
        <v>0</v>
      </c>
      <c r="AB7" s="587" t="s">
        <v>10</v>
      </c>
      <c r="AC7" s="907"/>
      <c r="AD7" s="910" t="str">
        <f>IF(AC6="","","+")</f>
        <v/>
      </c>
      <c r="AE7" s="1586" t="str">
        <f>IF(AE6="","",AE6/25*7.5)</f>
        <v/>
      </c>
      <c r="AF7" s="2895" t="str">
        <f>IF(AE6="","","L")</f>
        <v/>
      </c>
      <c r="AG7" s="270"/>
    </row>
    <row r="8" spans="1:33" ht="51" customHeight="1">
      <c r="A8" s="3206">
        <v>2</v>
      </c>
      <c r="B8" s="3151" t="s">
        <v>131</v>
      </c>
      <c r="C8" s="3157"/>
      <c r="D8" s="3164" t="s">
        <v>229</v>
      </c>
      <c r="E8" s="3165"/>
      <c r="F8" s="46" t="s">
        <v>4</v>
      </c>
      <c r="G8" s="897" t="str">
        <f>'XM.FILE GOC'!$E$45</f>
        <v>60~80</v>
      </c>
      <c r="H8" s="2202" t="str">
        <f>'XM.FILE GOC'!$F$45</f>
        <v>(70±5)</v>
      </c>
      <c r="I8" s="2205">
        <f>'XM.FILE GOC'!I45</f>
        <v>72.039000000000001</v>
      </c>
      <c r="J8" s="58" t="s">
        <v>8</v>
      </c>
      <c r="K8" s="586">
        <f>'XM.FILE GOC'!L45</f>
        <v>0</v>
      </c>
      <c r="L8" s="587" t="s">
        <v>9</v>
      </c>
      <c r="M8" s="907"/>
      <c r="N8" s="910" t="str">
        <f>IF(M8="","","+")</f>
        <v/>
      </c>
      <c r="O8" s="1587" t="str">
        <f>IF(M8="","",('XM.FILE GOC'!$G$45-M8)*3305/1000)</f>
        <v/>
      </c>
      <c r="P8" s="2895" t="str">
        <f>IF(O8="","","kg")</f>
        <v/>
      </c>
      <c r="Q8" s="1398">
        <f>'XM.FILE GOC'!P45</f>
        <v>74.959500000000006</v>
      </c>
      <c r="R8" s="58" t="s">
        <v>8</v>
      </c>
      <c r="S8" s="586">
        <f>'XM.FILE GOC'!S45</f>
        <v>0</v>
      </c>
      <c r="T8" s="587" t="s">
        <v>9</v>
      </c>
      <c r="U8" s="907"/>
      <c r="V8" s="910" t="str">
        <f>IF(U8="","","+")</f>
        <v/>
      </c>
      <c r="W8" s="1587" t="str">
        <f>IF(U8="","",('XM.FILE GOC'!$G$45-U8)*3305/1000)</f>
        <v/>
      </c>
      <c r="X8" s="2895" t="str">
        <f>IF(W8="","","kg")</f>
        <v/>
      </c>
      <c r="Y8" s="1398">
        <f>'XM.FILE GOC'!W45</f>
        <v>74.635000000000005</v>
      </c>
      <c r="Z8" s="58" t="s">
        <v>8</v>
      </c>
      <c r="AA8" s="586">
        <f>'XM.FILE GOC'!Z45</f>
        <v>0</v>
      </c>
      <c r="AB8" s="587" t="s">
        <v>9</v>
      </c>
      <c r="AC8" s="907"/>
      <c r="AD8" s="910" t="str">
        <f>IF(AC8="","","+")</f>
        <v/>
      </c>
      <c r="AE8" s="1587" t="str">
        <f>IF(AC8="","",('XM.FILE GOC'!$G$45-AC8)*3305/1000)</f>
        <v/>
      </c>
      <c r="AF8" s="2895" t="str">
        <f>IF(AE8="","","kg")</f>
        <v/>
      </c>
      <c r="AG8" s="71" t="s">
        <v>12</v>
      </c>
    </row>
    <row r="9" spans="1:33" ht="51" customHeight="1">
      <c r="A9" s="3207"/>
      <c r="B9" s="3211"/>
      <c r="C9" s="3159"/>
      <c r="D9" s="3164" t="s">
        <v>230</v>
      </c>
      <c r="E9" s="3165"/>
      <c r="F9" s="263"/>
      <c r="G9" s="897" t="s">
        <v>939</v>
      </c>
      <c r="H9" s="2202"/>
      <c r="I9" s="2191"/>
      <c r="J9" s="58"/>
      <c r="K9" s="952">
        <f>K8/25*7.5</f>
        <v>0</v>
      </c>
      <c r="L9" s="587" t="s">
        <v>10</v>
      </c>
      <c r="M9" s="907"/>
      <c r="N9" s="910" t="str">
        <f>IF(M8="","","+")</f>
        <v/>
      </c>
      <c r="O9" s="1586" t="str">
        <f>IF(O8="","",O8/25*7.5)</f>
        <v/>
      </c>
      <c r="P9" s="2895" t="str">
        <f>IF(O8="","","L")</f>
        <v/>
      </c>
      <c r="Q9" s="1676"/>
      <c r="R9" s="58"/>
      <c r="S9" s="952">
        <f>S8/25*7.5</f>
        <v>0</v>
      </c>
      <c r="T9" s="587" t="s">
        <v>10</v>
      </c>
      <c r="U9" s="907"/>
      <c r="V9" s="910" t="str">
        <f>IF(U8="","","+")</f>
        <v/>
      </c>
      <c r="W9" s="1586" t="str">
        <f>IF(W8="","",W8/25*7.5)</f>
        <v/>
      </c>
      <c r="X9" s="2895" t="str">
        <f>IF(W8="","","L")</f>
        <v/>
      </c>
      <c r="Y9" s="1676"/>
      <c r="Z9" s="58"/>
      <c r="AA9" s="952">
        <f>AA8/25*7.5</f>
        <v>0</v>
      </c>
      <c r="AB9" s="587" t="s">
        <v>10</v>
      </c>
      <c r="AC9" s="907"/>
      <c r="AD9" s="910" t="str">
        <f>IF(AC8="","","+")</f>
        <v/>
      </c>
      <c r="AE9" s="1586" t="str">
        <f>IF(AE8="","",AE8/25*7.5)</f>
        <v/>
      </c>
      <c r="AF9" s="2895" t="str">
        <f>IF(AE8="","","L")</f>
        <v/>
      </c>
      <c r="AG9" s="270"/>
    </row>
    <row r="10" spans="1:33" ht="51" customHeight="1">
      <c r="A10" s="3206">
        <v>3</v>
      </c>
      <c r="B10" s="3162" t="s">
        <v>132</v>
      </c>
      <c r="C10" s="3163"/>
      <c r="D10" s="3134" t="s">
        <v>231</v>
      </c>
      <c r="E10" s="3136" t="s">
        <v>231</v>
      </c>
      <c r="F10" s="46" t="s">
        <v>4</v>
      </c>
      <c r="G10" s="897" t="str">
        <f>'XM.FILE GOC'!$E$47</f>
        <v>50~70</v>
      </c>
      <c r="H10" s="2202" t="str">
        <f>'XM.FILE GOC'!$F$47</f>
        <v>(60±10)</v>
      </c>
      <c r="I10" s="2205">
        <f>'XM.FILE GOC'!I47</f>
        <v>55.208999999999996</v>
      </c>
      <c r="J10" s="58" t="s">
        <v>8</v>
      </c>
      <c r="K10" s="586">
        <f>'XM.FILE GOC'!L47</f>
        <v>5.5383960000000041</v>
      </c>
      <c r="L10" s="587" t="s">
        <v>9</v>
      </c>
      <c r="M10" s="907">
        <v>60.1</v>
      </c>
      <c r="N10" s="910" t="str">
        <f>IF(M10="","","+")</f>
        <v>+</v>
      </c>
      <c r="O10" s="1587">
        <f>IF(M10="","",('XM.FILE GOC'!$G$47-M10)*1156/1000)</f>
        <v>-0.11560000000000165</v>
      </c>
      <c r="P10" s="2895" t="str">
        <f>IF(O10="","","kg")</f>
        <v>kg</v>
      </c>
      <c r="Q10" s="1398">
        <f>'XM.FILE GOC'!P47</f>
        <v>60.06</v>
      </c>
      <c r="R10" s="58" t="s">
        <v>8</v>
      </c>
      <c r="S10" s="586">
        <f>'XM.FILE GOC'!S47</f>
        <v>0</v>
      </c>
      <c r="T10" s="587" t="s">
        <v>9</v>
      </c>
      <c r="U10" s="907"/>
      <c r="V10" s="910" t="str">
        <f>IF(U10="","","+")</f>
        <v/>
      </c>
      <c r="W10" s="1587" t="str">
        <f>IF(U10="","",('XM.FILE GOC'!$G$47-U10)*1156/1000)</f>
        <v/>
      </c>
      <c r="X10" s="2895" t="str">
        <f>IF(W10="","","kg")</f>
        <v/>
      </c>
      <c r="Y10" s="1398">
        <f>'XM.FILE GOC'!W47</f>
        <v>61.446000000000005</v>
      </c>
      <c r="Z10" s="58" t="s">
        <v>8</v>
      </c>
      <c r="AA10" s="586">
        <f>'XM.FILE GOC'!Z47</f>
        <v>0</v>
      </c>
      <c r="AB10" s="587" t="s">
        <v>9</v>
      </c>
      <c r="AC10" s="907"/>
      <c r="AD10" s="910" t="str">
        <f>IF(AC10="","","+")</f>
        <v/>
      </c>
      <c r="AE10" s="1587" t="str">
        <f>IF(AC10="","",('XM.FILE GOC'!$G$47-AC10)*1156/1000)</f>
        <v/>
      </c>
      <c r="AF10" s="2895" t="str">
        <f>IF(AE10="","","kg")</f>
        <v/>
      </c>
      <c r="AG10" s="71" t="s">
        <v>12</v>
      </c>
    </row>
    <row r="11" spans="1:33" ht="51" customHeight="1">
      <c r="A11" s="3213"/>
      <c r="B11" s="3163"/>
      <c r="C11" s="3163"/>
      <c r="D11" s="3134" t="s">
        <v>232</v>
      </c>
      <c r="E11" s="3136" t="s">
        <v>232</v>
      </c>
      <c r="F11" s="263"/>
      <c r="G11" s="897" t="s">
        <v>978</v>
      </c>
      <c r="H11" s="2202"/>
      <c r="I11" s="2191"/>
      <c r="J11" s="58"/>
      <c r="K11" s="952">
        <f>K10/25*7</f>
        <v>1.5507508800000012</v>
      </c>
      <c r="L11" s="587" t="s">
        <v>10</v>
      </c>
      <c r="M11" s="907"/>
      <c r="N11" s="910" t="str">
        <f>IF(M10="","","+")</f>
        <v>+</v>
      </c>
      <c r="O11" s="1586">
        <f>IF(O10="","",O10/25*7)</f>
        <v>-3.2368000000000459E-2</v>
      </c>
      <c r="P11" s="2895" t="str">
        <f>IF(O10="","","L")</f>
        <v>L</v>
      </c>
      <c r="Q11" s="1676"/>
      <c r="R11" s="58"/>
      <c r="S11" s="952">
        <f>S10/25*7</f>
        <v>0</v>
      </c>
      <c r="T11" s="587" t="s">
        <v>10</v>
      </c>
      <c r="U11" s="907"/>
      <c r="V11" s="910" t="str">
        <f>IF(U10="","","+")</f>
        <v/>
      </c>
      <c r="W11" s="1586" t="str">
        <f>IF(W10="","",W10/25*7)</f>
        <v/>
      </c>
      <c r="X11" s="2895" t="str">
        <f>IF(W10="","","L")</f>
        <v/>
      </c>
      <c r="Y11" s="1676"/>
      <c r="Z11" s="58"/>
      <c r="AA11" s="952">
        <f>AA10/25*7</f>
        <v>0</v>
      </c>
      <c r="AB11" s="587" t="s">
        <v>10</v>
      </c>
      <c r="AC11" s="907"/>
      <c r="AD11" s="910" t="str">
        <f>IF(AC10="","","+")</f>
        <v/>
      </c>
      <c r="AE11" s="1586" t="str">
        <f>IF(AE10="","",AE10/25*7)</f>
        <v/>
      </c>
      <c r="AF11" s="2895" t="str">
        <f>IF(AE10="","","L")</f>
        <v/>
      </c>
      <c r="AG11" s="20"/>
    </row>
    <row r="12" spans="1:33" ht="51" customHeight="1">
      <c r="A12" s="3206">
        <v>4</v>
      </c>
      <c r="B12" s="3162" t="s">
        <v>133</v>
      </c>
      <c r="C12" s="3163"/>
      <c r="D12" s="3134" t="s">
        <v>231</v>
      </c>
      <c r="E12" s="3136" t="s">
        <v>231</v>
      </c>
      <c r="F12" s="46" t="s">
        <v>4</v>
      </c>
      <c r="G12" s="897" t="str">
        <f>'XM.FILE GOC'!$E$49</f>
        <v>50~70</v>
      </c>
      <c r="H12" s="2202" t="str">
        <f>'XM.FILE GOC'!$F$49</f>
        <v>(60±10)</v>
      </c>
      <c r="I12" s="2205">
        <f>'XM.FILE GOC'!I49</f>
        <v>58.673999999999999</v>
      </c>
      <c r="J12" s="58" t="s">
        <v>8</v>
      </c>
      <c r="K12" s="586">
        <f>'XM.FILE GOC'!L49</f>
        <v>1.9346340000000006</v>
      </c>
      <c r="L12" s="587" t="s">
        <v>9</v>
      </c>
      <c r="M12" s="907">
        <v>61.5</v>
      </c>
      <c r="N12" s="910" t="str">
        <f>IF(M12="","","+")</f>
        <v>+</v>
      </c>
      <c r="O12" s="1587">
        <f>IF(M12="","",('XM.FILE GOC'!$G$49-M12)*1459/1000)</f>
        <v>-2.1884999999999999</v>
      </c>
      <c r="P12" s="2895" t="str">
        <f>IF(O12="","","kg")</f>
        <v>kg</v>
      </c>
      <c r="Q12" s="1398">
        <f>'XM.FILE GOC'!P49</f>
        <v>62.601000000000006</v>
      </c>
      <c r="R12" s="58" t="s">
        <v>8</v>
      </c>
      <c r="S12" s="586">
        <f>'XM.FILE GOC'!S49</f>
        <v>0</v>
      </c>
      <c r="T12" s="587" t="s">
        <v>9</v>
      </c>
      <c r="U12" s="907"/>
      <c r="V12" s="910" t="str">
        <f>IF(U12="","","+")</f>
        <v/>
      </c>
      <c r="W12" s="1587" t="str">
        <f>IF(U12="","",('XM.FILE GOC'!$G$49-U12)*1459/1000)</f>
        <v/>
      </c>
      <c r="X12" s="2895" t="str">
        <f>IF(W12="","","kg")</f>
        <v/>
      </c>
      <c r="Y12" s="1398">
        <f>'XM.FILE GOC'!W49</f>
        <v>61.446000000000005</v>
      </c>
      <c r="Z12" s="58" t="s">
        <v>8</v>
      </c>
      <c r="AA12" s="586">
        <f>'XM.FILE GOC'!Z49</f>
        <v>0</v>
      </c>
      <c r="AB12" s="587" t="s">
        <v>9</v>
      </c>
      <c r="AC12" s="907"/>
      <c r="AD12" s="910" t="str">
        <f>IF(AC12="","","+")</f>
        <v/>
      </c>
      <c r="AE12" s="1587" t="str">
        <f>IF(AC12="","",('XM.FILE GOC'!$G$49-AC12)*1459/1000)</f>
        <v/>
      </c>
      <c r="AF12" s="2895" t="str">
        <f>IF(AE12="","","kg")</f>
        <v/>
      </c>
      <c r="AG12" s="71" t="s">
        <v>12</v>
      </c>
    </row>
    <row r="13" spans="1:33" ht="51" customHeight="1">
      <c r="A13" s="3213"/>
      <c r="B13" s="3163"/>
      <c r="C13" s="3163"/>
      <c r="D13" s="3134" t="s">
        <v>232</v>
      </c>
      <c r="E13" s="3136" t="s">
        <v>232</v>
      </c>
      <c r="F13" s="263"/>
      <c r="G13" s="897" t="s">
        <v>978</v>
      </c>
      <c r="H13" s="2202"/>
      <c r="I13" s="2191"/>
      <c r="J13" s="58"/>
      <c r="K13" s="952">
        <f>K12/25*7</f>
        <v>0.54169752000000015</v>
      </c>
      <c r="L13" s="587" t="s">
        <v>10</v>
      </c>
      <c r="M13" s="907"/>
      <c r="N13" s="910" t="str">
        <f>IF(M12="","","+")</f>
        <v>+</v>
      </c>
      <c r="O13" s="1586">
        <f>IF(O12="","",O12/25*7)</f>
        <v>-0.61277999999999999</v>
      </c>
      <c r="P13" s="2895" t="str">
        <f>IF(O12="","","L")</f>
        <v>L</v>
      </c>
      <c r="Q13" s="1676"/>
      <c r="R13" s="58"/>
      <c r="S13" s="952">
        <f>S12/25*7</f>
        <v>0</v>
      </c>
      <c r="T13" s="587" t="s">
        <v>10</v>
      </c>
      <c r="U13" s="907"/>
      <c r="V13" s="910" t="str">
        <f>IF(U12="","","+")</f>
        <v/>
      </c>
      <c r="W13" s="1586" t="str">
        <f>IF(W12="","",W12/25*7)</f>
        <v/>
      </c>
      <c r="X13" s="2895" t="str">
        <f>IF(W12="","","L")</f>
        <v/>
      </c>
      <c r="Y13" s="1676"/>
      <c r="Z13" s="58"/>
      <c r="AA13" s="952">
        <f>AA12/25*7</f>
        <v>0</v>
      </c>
      <c r="AB13" s="587" t="s">
        <v>10</v>
      </c>
      <c r="AC13" s="907"/>
      <c r="AD13" s="910" t="str">
        <f>IF(AC12="","","+")</f>
        <v/>
      </c>
      <c r="AE13" s="1586" t="str">
        <f>IF(AE12="","",AE12/25*7)</f>
        <v/>
      </c>
      <c r="AF13" s="2895" t="str">
        <f>IF(AE12="","","L")</f>
        <v/>
      </c>
      <c r="AG13" s="20"/>
    </row>
    <row r="14" spans="1:33" ht="51" customHeight="1">
      <c r="A14" s="46">
        <v>5</v>
      </c>
      <c r="B14" s="3134" t="s">
        <v>78</v>
      </c>
      <c r="C14" s="3135"/>
      <c r="D14" s="3135"/>
      <c r="E14" s="3136"/>
      <c r="F14" s="46" t="s">
        <v>4</v>
      </c>
      <c r="G14" s="897" t="str">
        <f>'XM.FILE GOC'!$E$51</f>
        <v>130 - 150</v>
      </c>
      <c r="H14" s="2202" t="str">
        <f>'XM.FILE GOC'!$F$51</f>
        <v>(140±7)</v>
      </c>
      <c r="I14" s="2194">
        <f>'XM.FILE GOC'!I51</f>
        <v>144.80000000000001</v>
      </c>
      <c r="J14" s="58" t="s">
        <v>8</v>
      </c>
      <c r="K14" s="586">
        <f>'XM.FILE GOC'!L51</f>
        <v>0</v>
      </c>
      <c r="L14" s="587" t="s">
        <v>9</v>
      </c>
      <c r="M14" s="907"/>
      <c r="N14" s="910" t="str">
        <f>IF(M14="","","+")</f>
        <v/>
      </c>
      <c r="O14" s="933" t="str">
        <f>IF(M14="","",('XM.FILE GOC'!$G$51-M14)*19951/1000)</f>
        <v/>
      </c>
      <c r="P14" s="2895" t="str">
        <f>IF(O14="","","kg")</f>
        <v/>
      </c>
      <c r="Q14" s="1755">
        <f>'XM.FILE GOC'!P51</f>
        <v>144.80000000000001</v>
      </c>
      <c r="R14" s="58" t="s">
        <v>8</v>
      </c>
      <c r="S14" s="586">
        <f>'XM.FILE GOC'!S51</f>
        <v>0</v>
      </c>
      <c r="T14" s="587" t="s">
        <v>9</v>
      </c>
      <c r="U14" s="907"/>
      <c r="V14" s="910" t="str">
        <f>IF(U14="","","+")</f>
        <v/>
      </c>
      <c r="W14" s="933" t="str">
        <f>IF(U14="","",('XM.FILE GOC'!$G$51-U14)*19951/1000)</f>
        <v/>
      </c>
      <c r="X14" s="2895" t="str">
        <f>IF(W14="","","kg")</f>
        <v/>
      </c>
      <c r="Y14" s="1423">
        <f>'XM.FILE GOC'!W51</f>
        <v>143.19999999999999</v>
      </c>
      <c r="Z14" s="58" t="s">
        <v>8</v>
      </c>
      <c r="AA14" s="586">
        <f>'XM.FILE GOC'!Z51</f>
        <v>0</v>
      </c>
      <c r="AB14" s="587" t="s">
        <v>9</v>
      </c>
      <c r="AC14" s="907"/>
      <c r="AD14" s="910" t="str">
        <f>IF(AC14="","","+")</f>
        <v/>
      </c>
      <c r="AE14" s="933" t="str">
        <f>IF(AC14="","",('XM.FILE GOC'!$G$51-AC14)*19951/1000)</f>
        <v/>
      </c>
      <c r="AF14" s="2895" t="str">
        <f>IF(AE14="","","kg")</f>
        <v/>
      </c>
      <c r="AG14" s="71" t="s">
        <v>13</v>
      </c>
    </row>
    <row r="15" spans="1:33" ht="51" customHeight="1">
      <c r="A15" s="46">
        <v>6</v>
      </c>
      <c r="B15" s="3134" t="s">
        <v>56</v>
      </c>
      <c r="C15" s="3135"/>
      <c r="D15" s="3135"/>
      <c r="E15" s="3136"/>
      <c r="F15" s="46" t="s">
        <v>4</v>
      </c>
      <c r="G15" s="897" t="str">
        <f>'XM.FILE GOC'!$E$52</f>
        <v>8~12</v>
      </c>
      <c r="H15" s="2202" t="str">
        <f>'XM.FILE GOC'!$F$52</f>
        <v>(10±2)</v>
      </c>
      <c r="I15" s="2196">
        <f>'XM.FILE GOC'!I52</f>
        <v>10.01</v>
      </c>
      <c r="J15" s="949" t="s">
        <v>8</v>
      </c>
      <c r="K15" s="950">
        <f>'XM.FILE GOC'!L52</f>
        <v>0</v>
      </c>
      <c r="L15" s="18" t="s">
        <v>9</v>
      </c>
      <c r="M15" s="907"/>
      <c r="N15" s="910" t="str">
        <f t="shared" ref="N15:N22" si="0">IF(M15="","","+")</f>
        <v/>
      </c>
      <c r="O15" s="933" t="str">
        <f>IF(M15="","",('XM.FILE GOC'!$G$52-M15)*19951/1000)</f>
        <v/>
      </c>
      <c r="P15" s="2895" t="str">
        <f>IF(O15="","","kg")</f>
        <v/>
      </c>
      <c r="Q15" s="1731">
        <f>'XM.FILE GOC'!P52</f>
        <v>9.75</v>
      </c>
      <c r="R15" s="58" t="s">
        <v>8</v>
      </c>
      <c r="S15" s="586">
        <f>'XM.FILE GOC'!S52</f>
        <v>4.9877500000000001</v>
      </c>
      <c r="T15" s="18" t="s">
        <v>9</v>
      </c>
      <c r="U15" s="2902">
        <v>9.75</v>
      </c>
      <c r="V15" s="910" t="str">
        <f t="shared" ref="V15:V22" si="1">IF(U15="","","+")</f>
        <v>+</v>
      </c>
      <c r="W15" s="933">
        <f>IF(U15="","",('XM.FILE GOC'!$G$52-U15)*19951/1000)</f>
        <v>4.9877500000000001</v>
      </c>
      <c r="X15" s="2895" t="str">
        <f>IF(W15="","","kg")</f>
        <v>kg</v>
      </c>
      <c r="Y15" s="594">
        <f>'XM.FILE GOC'!W52</f>
        <v>9.75</v>
      </c>
      <c r="Z15" s="949" t="s">
        <v>8</v>
      </c>
      <c r="AA15" s="950">
        <f>'XM.FILE GOC'!Z52</f>
        <v>4.9877500000000001</v>
      </c>
      <c r="AB15" s="18" t="s">
        <v>9</v>
      </c>
      <c r="AC15" s="2902">
        <v>9.75</v>
      </c>
      <c r="AD15" s="910" t="str">
        <f t="shared" ref="AD15:AD22" si="2">IF(AC15="","","+")</f>
        <v>+</v>
      </c>
      <c r="AE15" s="933">
        <f>IF(AC15="","",('XM.FILE GOC'!$G$52-AC15)*19951/1000)</f>
        <v>4.9877500000000001</v>
      </c>
      <c r="AF15" s="2895" t="str">
        <f>IF(AE15="","","kg")</f>
        <v>kg</v>
      </c>
      <c r="AG15" s="71" t="s">
        <v>14</v>
      </c>
    </row>
    <row r="16" spans="1:33" ht="51" customHeight="1">
      <c r="A16" s="3206">
        <v>7</v>
      </c>
      <c r="B16" s="3151" t="s">
        <v>936</v>
      </c>
      <c r="C16" s="3152"/>
      <c r="D16" s="3152"/>
      <c r="E16" s="3153"/>
      <c r="F16" s="46" t="s">
        <v>3</v>
      </c>
      <c r="G16" s="897" t="str">
        <f>'XM.FILE GOC'!$E$53</f>
        <v xml:space="preserve">6~10 </v>
      </c>
      <c r="H16" s="2202" t="str">
        <f>'XM.FILE GOC'!$F$53</f>
        <v>(7±1)</v>
      </c>
      <c r="I16" s="2196">
        <f>'XM.FILE GOC'!I53</f>
        <v>7.2160500000000001</v>
      </c>
      <c r="J16" s="949" t="s">
        <v>8</v>
      </c>
      <c r="K16" s="950">
        <f>'XM.FILE GOC'!L53</f>
        <v>0</v>
      </c>
      <c r="L16" s="951"/>
      <c r="M16" s="907"/>
      <c r="N16" s="910" t="str">
        <f t="shared" si="0"/>
        <v/>
      </c>
      <c r="O16" s="933" t="str">
        <f>IF(M16="","",('XM.FILE GOC'!$G$53-M16)*575/108)</f>
        <v/>
      </c>
      <c r="P16" s="2895" t="str">
        <f>IF(O16="","","L")</f>
        <v/>
      </c>
      <c r="Q16" s="1731">
        <f>'XM.FILE GOC'!P53</f>
        <v>7.13131</v>
      </c>
      <c r="R16" s="949" t="s">
        <v>8</v>
      </c>
      <c r="S16" s="950">
        <f>'XM.FILE GOC'!S53</f>
        <v>0</v>
      </c>
      <c r="T16" s="951" t="s">
        <v>10</v>
      </c>
      <c r="U16" s="907"/>
      <c r="V16" s="910" t="str">
        <f t="shared" si="1"/>
        <v/>
      </c>
      <c r="W16" s="933" t="str">
        <f>IF(U16="","",('XM.FILE GOC'!$G$53-U16)*575/108)</f>
        <v/>
      </c>
      <c r="X16" s="2895" t="str">
        <f>IF(W16="","","L")</f>
        <v/>
      </c>
      <c r="Y16" s="594">
        <f>'XM.FILE GOC'!W53</f>
        <v>7.2160500000000001</v>
      </c>
      <c r="Z16" s="58" t="s">
        <v>8</v>
      </c>
      <c r="AA16" s="586">
        <f>'XM.FILE GOC'!Z53</f>
        <v>0</v>
      </c>
      <c r="AB16" s="587" t="s">
        <v>10</v>
      </c>
      <c r="AC16" s="907"/>
      <c r="AD16" s="910" t="str">
        <f t="shared" si="2"/>
        <v/>
      </c>
      <c r="AE16" s="933" t="str">
        <f>IF(AC16="","",('XM.FILE GOC'!$G$53-AC16)*575/108)</f>
        <v/>
      </c>
      <c r="AF16" s="2895" t="str">
        <f>IF(AE16="","","L")</f>
        <v/>
      </c>
      <c r="AG16" s="71"/>
    </row>
    <row r="17" spans="1:33" ht="51" customHeight="1">
      <c r="A17" s="3213"/>
      <c r="B17" s="3154"/>
      <c r="C17" s="3155"/>
      <c r="D17" s="3155"/>
      <c r="E17" s="3156"/>
      <c r="F17" s="46" t="s">
        <v>5</v>
      </c>
      <c r="G17" s="897" t="str">
        <f>'XM.FILE GOC'!$E$54</f>
        <v>2~2.5</v>
      </c>
      <c r="H17" s="2202" t="str">
        <f>'XM.FILE GOC'!$F$54</f>
        <v>(2.3±0.1 )</v>
      </c>
      <c r="I17" s="2196">
        <f>'XM.FILE GOC'!I54</f>
        <v>2.23</v>
      </c>
      <c r="J17" s="953"/>
      <c r="K17" s="950">
        <f>'XM.FILE GOC'!L54</f>
        <v>0</v>
      </c>
      <c r="L17" s="954"/>
      <c r="M17" s="907"/>
      <c r="N17" s="910" t="str">
        <f t="shared" si="0"/>
        <v/>
      </c>
      <c r="O17" s="935"/>
      <c r="P17" s="913"/>
      <c r="Q17" s="1731">
        <f>'XM.FILE GOC'!P54</f>
        <v>2.2400000000000002</v>
      </c>
      <c r="R17" s="953"/>
      <c r="S17" s="950">
        <f>'XM.FILE GOC'!S54</f>
        <v>0</v>
      </c>
      <c r="T17" s="954"/>
      <c r="U17" s="907"/>
      <c r="V17" s="910" t="str">
        <f t="shared" si="1"/>
        <v/>
      </c>
      <c r="W17" s="935"/>
      <c r="X17" s="913"/>
      <c r="Y17" s="594">
        <f>'XM.FILE GOC'!W54</f>
        <v>2.35</v>
      </c>
      <c r="Z17" s="953"/>
      <c r="AA17" s="950">
        <f>'XM.FILE GOC'!Z54</f>
        <v>0</v>
      </c>
      <c r="AB17" s="587"/>
      <c r="AC17" s="907"/>
      <c r="AD17" s="910" t="str">
        <f t="shared" si="2"/>
        <v/>
      </c>
      <c r="AE17" s="935"/>
      <c r="AF17" s="913"/>
      <c r="AG17" s="20"/>
    </row>
    <row r="18" spans="1:33" ht="51" customHeight="1">
      <c r="A18" s="46">
        <v>8</v>
      </c>
      <c r="B18" s="3134" t="s">
        <v>57</v>
      </c>
      <c r="C18" s="3135"/>
      <c r="D18" s="3135"/>
      <c r="E18" s="3136"/>
      <c r="F18" s="958" t="s">
        <v>6</v>
      </c>
      <c r="G18" s="897" t="str">
        <f>'XM.FILE GOC'!$E$55</f>
        <v xml:space="preserve">40~50 </v>
      </c>
      <c r="H18" s="2202" t="str">
        <f>'XM.FILE GOC'!$F$55</f>
        <v>(45±5)</v>
      </c>
      <c r="I18" s="2197">
        <f>'XM.FILE GOC'!I55</f>
        <v>0.46765624999999994</v>
      </c>
      <c r="J18" s="58" t="s">
        <v>8</v>
      </c>
      <c r="K18" s="586">
        <f>'XM.FILE GOC'!L55</f>
        <v>0</v>
      </c>
      <c r="L18" s="587" t="s">
        <v>10</v>
      </c>
      <c r="M18" s="914"/>
      <c r="N18" s="910" t="str">
        <f t="shared" si="0"/>
        <v/>
      </c>
      <c r="O18" s="933" t="str">
        <f>IF(M18="","",('XM.FILE GOC'!$G$55-M18)*2122)</f>
        <v/>
      </c>
      <c r="P18" s="2895" t="str">
        <f>IF(O18="","","L")</f>
        <v/>
      </c>
      <c r="Q18" s="1736">
        <f>'XM.FILE GOC'!P55</f>
        <v>0.47906250000000006</v>
      </c>
      <c r="R18" s="58" t="s">
        <v>8</v>
      </c>
      <c r="S18" s="586">
        <f>'XM.FILE GOC'!S55</f>
        <v>0</v>
      </c>
      <c r="T18" s="587" t="s">
        <v>10</v>
      </c>
      <c r="U18" s="914"/>
      <c r="V18" s="910" t="str">
        <f t="shared" si="1"/>
        <v/>
      </c>
      <c r="W18" s="933" t="str">
        <f>IF(U18="","",('XM.FILE GOC'!$G$55-U18)*2122)</f>
        <v/>
      </c>
      <c r="X18" s="2895" t="str">
        <f>IF(W18="","","L")</f>
        <v/>
      </c>
      <c r="Y18" s="299">
        <f>'XM.FILE GOC'!W55</f>
        <v>0.45624999999999999</v>
      </c>
      <c r="Z18" s="58" t="s">
        <v>8</v>
      </c>
      <c r="AA18" s="586">
        <f>'XM.FILE GOC'!Z55</f>
        <v>0</v>
      </c>
      <c r="AB18" s="587" t="s">
        <v>10</v>
      </c>
      <c r="AC18" s="914"/>
      <c r="AD18" s="910" t="str">
        <f t="shared" si="2"/>
        <v/>
      </c>
      <c r="AE18" s="933" t="str">
        <f>IF(AC18="","",('XM.FILE GOC'!$G$55-AC18)*2122)</f>
        <v/>
      </c>
      <c r="AF18" s="2895" t="str">
        <f>IF(AE18="","","L")</f>
        <v/>
      </c>
      <c r="AG18" s="71" t="s">
        <v>15</v>
      </c>
    </row>
    <row r="19" spans="1:33" ht="51" hidden="1" customHeight="1">
      <c r="A19" s="46">
        <v>9</v>
      </c>
      <c r="B19" s="3134" t="s">
        <v>58</v>
      </c>
      <c r="C19" s="3135"/>
      <c r="D19" s="3135"/>
      <c r="E19" s="3136"/>
      <c r="F19" s="958" t="s">
        <v>6</v>
      </c>
      <c r="G19" s="897" t="str">
        <f>'XM.FILE GOC'!$E$56</f>
        <v>(22±5) =17~27</v>
      </c>
      <c r="H19" s="2202" t="str">
        <f>'XM.FILE GOC'!$F$56</f>
        <v>(22±5)</v>
      </c>
      <c r="I19" s="2197">
        <f>'XM.FILE GOC'!I56</f>
        <v>0</v>
      </c>
      <c r="J19" s="58" t="s">
        <v>8</v>
      </c>
      <c r="K19" s="586">
        <f>'XM.FILE GOC'!L56</f>
        <v>134.64000000000001</v>
      </c>
      <c r="L19" s="587" t="s">
        <v>10</v>
      </c>
      <c r="M19" s="914"/>
      <c r="N19" s="910" t="str">
        <f t="shared" si="0"/>
        <v/>
      </c>
      <c r="O19" s="933">
        <f>('XM.FILE GOC'!$G$56-M19)*612</f>
        <v>134.64000000000001</v>
      </c>
      <c r="P19" s="909" t="s">
        <v>10</v>
      </c>
      <c r="Q19" s="1736">
        <f>'XM.FILE GOC'!P56</f>
        <v>0</v>
      </c>
      <c r="R19" s="58" t="s">
        <v>8</v>
      </c>
      <c r="S19" s="586">
        <f>'XM.FILE GOC'!S56</f>
        <v>134.64000000000001</v>
      </c>
      <c r="T19" s="587" t="s">
        <v>10</v>
      </c>
      <c r="U19" s="914"/>
      <c r="V19" s="910" t="str">
        <f t="shared" si="1"/>
        <v/>
      </c>
      <c r="W19" s="933">
        <f>('XM.FILE GOC'!$G$56-U19)*612</f>
        <v>134.64000000000001</v>
      </c>
      <c r="X19" s="909" t="s">
        <v>10</v>
      </c>
      <c r="Y19" s="299">
        <f>'XM.FILE GOC'!W56</f>
        <v>0</v>
      </c>
      <c r="Z19" s="58" t="s">
        <v>8</v>
      </c>
      <c r="AA19" s="586">
        <f>'XM.FILE GOC'!Z56</f>
        <v>134.64000000000001</v>
      </c>
      <c r="AB19" s="587" t="s">
        <v>10</v>
      </c>
      <c r="AC19" s="914"/>
      <c r="AD19" s="910" t="str">
        <f t="shared" si="2"/>
        <v/>
      </c>
      <c r="AE19" s="933">
        <f>('XM.FILE GOC'!$G$56-AC19)*612</f>
        <v>134.64000000000001</v>
      </c>
      <c r="AF19" s="909" t="s">
        <v>10</v>
      </c>
      <c r="AG19" s="71" t="s">
        <v>15</v>
      </c>
    </row>
    <row r="20" spans="1:33" ht="51" hidden="1" customHeight="1">
      <c r="A20" s="46">
        <v>11</v>
      </c>
      <c r="B20" s="3134" t="s">
        <v>107</v>
      </c>
      <c r="C20" s="3135"/>
      <c r="D20" s="3135"/>
      <c r="E20" s="3136"/>
      <c r="F20" s="958" t="s">
        <v>6</v>
      </c>
      <c r="G20" s="897" t="str">
        <f>'XM.FILE GOC'!$E$57</f>
        <v>5~15</v>
      </c>
      <c r="H20" s="2202" t="str">
        <f>'XM.FILE GOC'!$F$57</f>
        <v>(10±3)</v>
      </c>
      <c r="I20" s="2197">
        <f>'XM.FILE GOC'!I57</f>
        <v>7.9843750000000005E-2</v>
      </c>
      <c r="J20" s="949" t="s">
        <v>8</v>
      </c>
      <c r="K20" s="950">
        <f>'XM.FILE GOC'!L57</f>
        <v>11.58984375</v>
      </c>
      <c r="L20" s="951" t="s">
        <v>10</v>
      </c>
      <c r="M20" s="914"/>
      <c r="N20" s="910" t="str">
        <f t="shared" si="0"/>
        <v/>
      </c>
      <c r="O20" s="933">
        <f>('XM.FILE GOC'!$G$57-M20)*575</f>
        <v>57.5</v>
      </c>
      <c r="P20" s="909" t="s">
        <v>10</v>
      </c>
      <c r="Q20" s="1736">
        <f>'XM.FILE GOC'!P57</f>
        <v>8.2125000000000004E-2</v>
      </c>
      <c r="R20" s="949" t="s">
        <v>8</v>
      </c>
      <c r="S20" s="950">
        <f>'XM.FILE GOC'!S57</f>
        <v>10.278125000000001</v>
      </c>
      <c r="T20" s="951" t="s">
        <v>10</v>
      </c>
      <c r="U20" s="914"/>
      <c r="V20" s="910" t="str">
        <f t="shared" si="1"/>
        <v/>
      </c>
      <c r="W20" s="933">
        <f>('XM.FILE GOC'!$G$57-U20)*575</f>
        <v>57.5</v>
      </c>
      <c r="X20" s="909" t="s">
        <v>10</v>
      </c>
      <c r="Y20" s="299">
        <f>'XM.FILE GOC'!W57</f>
        <v>8.7828125000000007E-2</v>
      </c>
      <c r="Z20" s="949" t="s">
        <v>8</v>
      </c>
      <c r="AA20" s="950">
        <f>'XM.FILE GOC'!Z57</f>
        <v>6.9988281249999993</v>
      </c>
      <c r="AB20" s="587" t="s">
        <v>10</v>
      </c>
      <c r="AC20" s="914"/>
      <c r="AD20" s="910" t="str">
        <f t="shared" si="2"/>
        <v/>
      </c>
      <c r="AE20" s="933">
        <f>('XM.FILE GOC'!$G$57-AC20)*575</f>
        <v>57.5</v>
      </c>
      <c r="AF20" s="909" t="s">
        <v>10</v>
      </c>
      <c r="AG20" s="71" t="s">
        <v>16</v>
      </c>
    </row>
    <row r="21" spans="1:33" ht="51" customHeight="1">
      <c r="A21" s="46">
        <v>9</v>
      </c>
      <c r="B21" s="3134" t="s">
        <v>937</v>
      </c>
      <c r="C21" s="3135"/>
      <c r="D21" s="3135"/>
      <c r="E21" s="3136"/>
      <c r="F21" s="958" t="s">
        <v>3</v>
      </c>
      <c r="G21" s="897" t="str">
        <f>'XM.FILE GOC'!$E$58</f>
        <v>0.5~1.5</v>
      </c>
      <c r="H21" s="2202" t="str">
        <f>'XM.FILE GOC'!$F$58</f>
        <v>(1±0.4)</v>
      </c>
      <c r="I21" s="2199">
        <f>'XM.FILE GOC'!I58</f>
        <v>1.1088000000000001E-2</v>
      </c>
      <c r="J21" s="58" t="s">
        <v>8</v>
      </c>
      <c r="K21" s="952">
        <f>'XM.FILE GOC'!L58</f>
        <v>0</v>
      </c>
      <c r="L21" s="587" t="s">
        <v>10</v>
      </c>
      <c r="M21" s="1572"/>
      <c r="N21" s="910" t="str">
        <f t="shared" si="0"/>
        <v/>
      </c>
      <c r="O21" s="933" t="str">
        <f>IF(M21="","",('XM.FILE GOC'!$G$58-M21)*530/65%)</f>
        <v/>
      </c>
      <c r="P21" s="2895" t="str">
        <f>IF(O21="","","L")</f>
        <v/>
      </c>
      <c r="Q21" s="1767">
        <f>'XM.FILE GOC'!P58</f>
        <v>1.3229999999999999E-2</v>
      </c>
      <c r="R21" s="58" t="s">
        <v>8</v>
      </c>
      <c r="S21" s="952">
        <f>'XM.FILE GOC'!S58</f>
        <v>0</v>
      </c>
      <c r="T21" s="587" t="s">
        <v>10</v>
      </c>
      <c r="U21" s="1572"/>
      <c r="V21" s="910" t="str">
        <f t="shared" si="1"/>
        <v/>
      </c>
      <c r="W21" s="933" t="str">
        <f>IF(U21="","",('XM.FILE GOC'!$G$58-U21)*530/65%)</f>
        <v/>
      </c>
      <c r="X21" s="2895" t="str">
        <f>IF(W21="","","L")</f>
        <v/>
      </c>
      <c r="Y21" s="2170">
        <f>'XM.FILE GOC'!W58</f>
        <v>1.1088000000000001E-2</v>
      </c>
      <c r="Z21" s="58" t="s">
        <v>8</v>
      </c>
      <c r="AA21" s="952">
        <f>'XM.FILE GOC'!Z58</f>
        <v>0</v>
      </c>
      <c r="AB21" s="587" t="s">
        <v>10</v>
      </c>
      <c r="AC21" s="1572"/>
      <c r="AD21" s="910" t="str">
        <f t="shared" si="2"/>
        <v/>
      </c>
      <c r="AE21" s="933" t="str">
        <f>IF(AC21="","",('XM.FILE GOC'!$G$58-AC21)*530/65%)</f>
        <v/>
      </c>
      <c r="AF21" s="2895" t="str">
        <f>IF(AE21="","","L")</f>
        <v/>
      </c>
      <c r="AG21" s="71" t="s">
        <v>16</v>
      </c>
    </row>
    <row r="22" spans="1:33" ht="51" customHeight="1">
      <c r="A22" s="3206">
        <v>10</v>
      </c>
      <c r="B22" s="3143" t="s">
        <v>233</v>
      </c>
      <c r="C22" s="3144"/>
      <c r="D22" s="3144"/>
      <c r="E22" s="3145"/>
      <c r="F22" s="2164" t="s">
        <v>3</v>
      </c>
      <c r="G22" s="1005" t="str">
        <f>'XM.GUI MAIL'!$E$59</f>
        <v>5~8</v>
      </c>
      <c r="H22" s="2206" t="str">
        <f>'XM.GUI MAIL'!$F$59</f>
        <v>(6±0.5)</v>
      </c>
      <c r="I22" s="2200">
        <f>'XM.FILE GOC'!I59</f>
        <v>6.4</v>
      </c>
      <c r="J22" s="58" t="s">
        <v>8</v>
      </c>
      <c r="K22" s="952">
        <f>'XM.FILE GOC'!L59</f>
        <v>0</v>
      </c>
      <c r="L22" s="587" t="s">
        <v>10</v>
      </c>
      <c r="M22" s="2236"/>
      <c r="N22" s="910" t="str">
        <f t="shared" si="0"/>
        <v/>
      </c>
      <c r="O22" s="1587" t="str">
        <f>IF(M22="","",('XM.FILE GOC'!$G$59-M22)*575/95*0.765)</f>
        <v/>
      </c>
      <c r="P22" s="2895" t="str">
        <f>IF(O22="","","L")</f>
        <v/>
      </c>
      <c r="Q22" s="1833" t="str">
        <f>'XM.FILE GOC'!P59</f>
        <v>ko sx</v>
      </c>
      <c r="R22" s="58" t="s">
        <v>8</v>
      </c>
      <c r="S22" s="952">
        <f>'XM.FILE GOC'!S59</f>
        <v>0</v>
      </c>
      <c r="T22" s="587" t="s">
        <v>10</v>
      </c>
      <c r="U22" s="2236"/>
      <c r="V22" s="910" t="str">
        <f t="shared" si="1"/>
        <v/>
      </c>
      <c r="W22" s="1587" t="str">
        <f>IF(U22="","",('XM.FILE GOC'!$G$59-U22)*575/95*0.765)</f>
        <v/>
      </c>
      <c r="X22" s="2895" t="str">
        <f>IF(W22="","","L")</f>
        <v/>
      </c>
      <c r="Y22" s="1833" t="str">
        <f>'XM.FILE GOC'!W59</f>
        <v>ko sx</v>
      </c>
      <c r="Z22" s="58" t="s">
        <v>8</v>
      </c>
      <c r="AA22" s="952">
        <f>'XM.FILE GOC'!Z59</f>
        <v>0</v>
      </c>
      <c r="AB22" s="587" t="s">
        <v>10</v>
      </c>
      <c r="AC22" s="2236"/>
      <c r="AD22" s="910" t="str">
        <f t="shared" si="2"/>
        <v/>
      </c>
      <c r="AE22" s="1587" t="str">
        <f>IF(AC22="","",('XM.FILE GOC'!$G$59-AC22)*575/95*0.765)</f>
        <v/>
      </c>
      <c r="AF22" s="2895" t="str">
        <f>IF(AE22="","","L")</f>
        <v/>
      </c>
      <c r="AG22" s="270"/>
    </row>
    <row r="23" spans="1:33" ht="51" customHeight="1">
      <c r="A23" s="3221"/>
      <c r="B23" s="3146"/>
      <c r="C23" s="3147"/>
      <c r="D23" s="3147"/>
      <c r="E23" s="3148"/>
      <c r="F23" s="2164" t="s">
        <v>5</v>
      </c>
      <c r="G23" s="1005" t="str">
        <f>'XM.GUI MAIL'!$E$60</f>
        <v>1.8~2.4</v>
      </c>
      <c r="H23" s="2206" t="str">
        <f>'XM.GUI MAIL'!$F$60</f>
        <v>(2.1±0.1 )</v>
      </c>
      <c r="I23" s="2201">
        <f>'XM.FILE GOC'!I60</f>
        <v>2.0299999999999998</v>
      </c>
      <c r="J23" s="58" t="s">
        <v>8</v>
      </c>
      <c r="K23" s="952">
        <f>'XM.FILE GOC'!L60</f>
        <v>0</v>
      </c>
      <c r="L23" s="587" t="s">
        <v>10</v>
      </c>
      <c r="M23" s="914"/>
      <c r="N23" s="908"/>
      <c r="O23" s="933"/>
      <c r="P23" s="909"/>
      <c r="Q23" s="1761" t="str">
        <f>'XM.FILE GOC'!P60</f>
        <v>ko sx</v>
      </c>
      <c r="R23" s="58" t="s">
        <v>8</v>
      </c>
      <c r="S23" s="952">
        <f>'XM.FILE GOC'!S60</f>
        <v>0</v>
      </c>
      <c r="T23" s="587" t="s">
        <v>10</v>
      </c>
      <c r="U23" s="914"/>
      <c r="V23" s="908"/>
      <c r="W23" s="933"/>
      <c r="X23" s="909"/>
      <c r="Y23" s="1761" t="str">
        <f>'XM.FILE GOC'!W60</f>
        <v>ko sx</v>
      </c>
      <c r="Z23" s="58" t="s">
        <v>8</v>
      </c>
      <c r="AA23" s="952">
        <f>'XM.FILE GOC'!Z60</f>
        <v>0</v>
      </c>
      <c r="AB23" s="587" t="s">
        <v>10</v>
      </c>
      <c r="AC23" s="914"/>
      <c r="AD23" s="908"/>
      <c r="AE23" s="933"/>
      <c r="AF23" s="909"/>
      <c r="AG23" s="270"/>
    </row>
    <row r="24" spans="1:33" ht="51" customHeight="1">
      <c r="A24" s="46"/>
      <c r="B24" s="2415" t="s">
        <v>108</v>
      </c>
      <c r="C24" s="2416"/>
      <c r="D24" s="2416"/>
      <c r="E24" s="2416"/>
      <c r="F24" s="2416"/>
      <c r="G24" s="2416"/>
      <c r="H24" s="2416"/>
      <c r="I24" s="2416"/>
      <c r="J24" s="2416"/>
      <c r="K24" s="2416"/>
      <c r="L24" s="2416"/>
      <c r="M24" s="2416"/>
      <c r="N24" s="2416"/>
      <c r="O24" s="2416"/>
      <c r="P24" s="2416"/>
      <c r="Q24" s="2416"/>
      <c r="R24" s="2416"/>
      <c r="S24" s="2416"/>
      <c r="T24" s="2416"/>
      <c r="U24" s="2416"/>
      <c r="V24" s="2416"/>
      <c r="W24" s="2416"/>
      <c r="X24" s="2416"/>
      <c r="Y24" s="2416"/>
      <c r="Z24" s="2416"/>
      <c r="AA24" s="2416"/>
      <c r="AB24" s="2416"/>
      <c r="AC24" s="2416"/>
      <c r="AD24" s="2416"/>
      <c r="AE24" s="2416"/>
      <c r="AF24" s="2416"/>
      <c r="AG24" s="2417"/>
    </row>
    <row r="25" spans="1:33" ht="54" customHeight="1">
      <c r="A25" s="958" t="s">
        <v>7</v>
      </c>
      <c r="B25" s="3134" t="s">
        <v>60</v>
      </c>
      <c r="C25" s="3135"/>
      <c r="D25" s="3135"/>
      <c r="E25" s="3136"/>
      <c r="F25" s="247" t="s">
        <v>62</v>
      </c>
      <c r="G25" s="975" t="s">
        <v>1296</v>
      </c>
      <c r="H25" s="2204" t="s">
        <v>1289</v>
      </c>
      <c r="I25" s="3214" t="s">
        <v>45</v>
      </c>
      <c r="J25" s="3203"/>
      <c r="K25" s="3202" t="s">
        <v>61</v>
      </c>
      <c r="L25" s="3203"/>
      <c r="M25" s="917"/>
      <c r="N25" s="918"/>
      <c r="O25" s="918"/>
      <c r="P25" s="919"/>
      <c r="Q25" s="3202" t="s">
        <v>45</v>
      </c>
      <c r="R25" s="3203"/>
      <c r="S25" s="3202" t="s">
        <v>61</v>
      </c>
      <c r="T25" s="3203"/>
      <c r="U25" s="917"/>
      <c r="V25" s="918"/>
      <c r="W25" s="918"/>
      <c r="X25" s="919"/>
      <c r="Y25" s="3202" t="s">
        <v>45</v>
      </c>
      <c r="Z25" s="3203"/>
      <c r="AA25" s="3202" t="s">
        <v>61</v>
      </c>
      <c r="AB25" s="3203"/>
      <c r="AC25" s="917"/>
      <c r="AD25" s="918"/>
      <c r="AE25" s="918"/>
      <c r="AF25" s="919"/>
      <c r="AG25" s="72"/>
    </row>
    <row r="26" spans="1:33" ht="51" customHeight="1">
      <c r="A26" s="958">
        <v>1</v>
      </c>
      <c r="B26" s="3134" t="s">
        <v>64</v>
      </c>
      <c r="C26" s="3135"/>
      <c r="D26" s="3135"/>
      <c r="E26" s="3136"/>
      <c r="F26" s="246" t="s">
        <v>194</v>
      </c>
      <c r="G26" s="897" t="str">
        <f>'XM.FILE GOC'!$E$63</f>
        <v>50~70</v>
      </c>
      <c r="H26" s="2202" t="str">
        <f>'XM.FILE GOC'!$F$63</f>
        <v>(60±5)</v>
      </c>
      <c r="I26" s="3195">
        <v>58</v>
      </c>
      <c r="J26" s="3121"/>
      <c r="K26" s="3121">
        <v>57</v>
      </c>
      <c r="L26" s="3121"/>
      <c r="M26" s="920"/>
      <c r="N26" s="921"/>
      <c r="O26" s="921"/>
      <c r="P26" s="922"/>
      <c r="Q26" s="3121">
        <v>57</v>
      </c>
      <c r="R26" s="3121"/>
      <c r="S26" s="3121">
        <v>58</v>
      </c>
      <c r="T26" s="3121"/>
      <c r="U26" s="920"/>
      <c r="V26" s="921"/>
      <c r="W26" s="921"/>
      <c r="X26" s="922"/>
      <c r="Y26" s="3121">
        <f>'XM.GUI MAIL'!W63</f>
        <v>55</v>
      </c>
      <c r="Z26" s="3121"/>
      <c r="AA26" s="3121">
        <f>'XM.FILE GOC'!Z63</f>
        <v>55</v>
      </c>
      <c r="AB26" s="3121"/>
      <c r="AC26" s="920"/>
      <c r="AD26" s="921"/>
      <c r="AE26" s="921"/>
      <c r="AF26" s="922"/>
      <c r="AG26" s="20"/>
    </row>
    <row r="27" spans="1:33" ht="51" customHeight="1">
      <c r="A27" s="958">
        <v>2</v>
      </c>
      <c r="B27" s="3134" t="s">
        <v>65</v>
      </c>
      <c r="C27" s="3135" t="s">
        <v>65</v>
      </c>
      <c r="D27" s="3135" t="s">
        <v>65</v>
      </c>
      <c r="E27" s="3136" t="s">
        <v>65</v>
      </c>
      <c r="F27" s="246" t="s">
        <v>194</v>
      </c>
      <c r="G27" s="897" t="str">
        <f>'XM.FILE GOC'!$E$64</f>
        <v>50~70</v>
      </c>
      <c r="H27" s="2202" t="str">
        <f>'XM.FILE GOC'!$F$64</f>
        <v>(60±5)</v>
      </c>
      <c r="I27" s="3195">
        <f>'XM.GUI MAIL'!I64</f>
        <v>58</v>
      </c>
      <c r="J27" s="3121"/>
      <c r="K27" s="3121">
        <f>'XM.FILE GOC'!L64</f>
        <v>57</v>
      </c>
      <c r="L27" s="3121"/>
      <c r="M27" s="920"/>
      <c r="N27" s="921"/>
      <c r="O27" s="921"/>
      <c r="P27" s="922"/>
      <c r="Q27" s="3121">
        <f>'XM.GUI MAIL'!P64</f>
        <v>57</v>
      </c>
      <c r="R27" s="3121"/>
      <c r="S27" s="3121">
        <f>'XM.FILE GOC'!S64</f>
        <v>58</v>
      </c>
      <c r="T27" s="3121"/>
      <c r="U27" s="920"/>
      <c r="V27" s="921"/>
      <c r="W27" s="921"/>
      <c r="X27" s="922"/>
      <c r="Y27" s="3121">
        <f>'XM.GUI MAIL'!W64</f>
        <v>58</v>
      </c>
      <c r="Z27" s="3121"/>
      <c r="AA27" s="3121">
        <f>'XM.FILE GOC'!Z64</f>
        <v>58</v>
      </c>
      <c r="AB27" s="3121"/>
      <c r="AC27" s="920"/>
      <c r="AD27" s="921"/>
      <c r="AE27" s="921"/>
      <c r="AF27" s="922"/>
      <c r="AG27" s="20"/>
    </row>
    <row r="28" spans="1:33" ht="51" customHeight="1">
      <c r="A28" s="958">
        <v>3</v>
      </c>
      <c r="B28" s="3134" t="s">
        <v>67</v>
      </c>
      <c r="C28" s="3135" t="s">
        <v>67</v>
      </c>
      <c r="D28" s="3135" t="s">
        <v>67</v>
      </c>
      <c r="E28" s="3136" t="s">
        <v>67</v>
      </c>
      <c r="F28" s="246" t="s">
        <v>194</v>
      </c>
      <c r="G28" s="897" t="str">
        <f>'XM.FILE GOC'!$E$65</f>
        <v>40~60</v>
      </c>
      <c r="H28" s="2202" t="str">
        <f>'XM.FILE GOC'!$F$65</f>
        <v>(50±5)</v>
      </c>
      <c r="I28" s="3096">
        <f>'XM.GUI MAIL'!I65</f>
        <v>52</v>
      </c>
      <c r="J28" s="3086"/>
      <c r="K28" s="3095">
        <f>'XM.FILE GOC'!L65</f>
        <v>51</v>
      </c>
      <c r="L28" s="3086"/>
      <c r="M28" s="920"/>
      <c r="N28" s="921"/>
      <c r="O28" s="921"/>
      <c r="P28" s="922"/>
      <c r="Q28" s="3095">
        <f>'XM.GUI MAIL'!P65</f>
        <v>52</v>
      </c>
      <c r="R28" s="3086"/>
      <c r="S28" s="3095">
        <f>'XM.FILE GOC'!S65</f>
        <v>51</v>
      </c>
      <c r="T28" s="3086"/>
      <c r="U28" s="920"/>
      <c r="V28" s="921"/>
      <c r="W28" s="921"/>
      <c r="X28" s="922"/>
      <c r="Y28" s="3095">
        <f>'XM.GUI MAIL'!W65</f>
        <v>52</v>
      </c>
      <c r="Z28" s="3086"/>
      <c r="AA28" s="3095">
        <f>'XM.FILE GOC'!Z65</f>
        <v>52</v>
      </c>
      <c r="AB28" s="3086"/>
      <c r="AC28" s="920"/>
      <c r="AD28" s="921"/>
      <c r="AE28" s="921"/>
      <c r="AF28" s="922"/>
      <c r="AG28" s="20"/>
    </row>
    <row r="29" spans="1:33" ht="51" customHeight="1">
      <c r="A29" s="958">
        <v>4</v>
      </c>
      <c r="B29" s="3134" t="s">
        <v>66</v>
      </c>
      <c r="C29" s="3135" t="s">
        <v>66</v>
      </c>
      <c r="D29" s="3135" t="s">
        <v>66</v>
      </c>
      <c r="E29" s="3136" t="s">
        <v>66</v>
      </c>
      <c r="F29" s="246" t="s">
        <v>194</v>
      </c>
      <c r="G29" s="897" t="str">
        <f>'XM.FILE GOC'!$E$66</f>
        <v>40~60</v>
      </c>
      <c r="H29" s="2202" t="str">
        <f>'XM.FILE GOC'!$F$66</f>
        <v>(50±5)</v>
      </c>
      <c r="I29" s="3096">
        <f>'XM.GUI MAIL'!I66</f>
        <v>50</v>
      </c>
      <c r="J29" s="3086"/>
      <c r="K29" s="3095">
        <f>'XM.FILE GOC'!L66</f>
        <v>49</v>
      </c>
      <c r="L29" s="3086"/>
      <c r="M29" s="920"/>
      <c r="N29" s="921"/>
      <c r="O29" s="921"/>
      <c r="P29" s="922"/>
      <c r="Q29" s="3095">
        <f>'XM.GUI MAIL'!P66</f>
        <v>48</v>
      </c>
      <c r="R29" s="3086"/>
      <c r="S29" s="3095">
        <f>'XM.FILE GOC'!S66</f>
        <v>48</v>
      </c>
      <c r="T29" s="3086"/>
      <c r="U29" s="920"/>
      <c r="V29" s="921"/>
      <c r="W29" s="921"/>
      <c r="X29" s="922"/>
      <c r="Y29" s="3095">
        <f>'XM.GUI MAIL'!W66</f>
        <v>48</v>
      </c>
      <c r="Z29" s="3086"/>
      <c r="AA29" s="3095">
        <f>'XM.FILE GOC'!Z66</f>
        <v>48</v>
      </c>
      <c r="AB29" s="3086"/>
      <c r="AC29" s="920"/>
      <c r="AD29" s="921"/>
      <c r="AE29" s="921"/>
      <c r="AF29" s="922"/>
      <c r="AG29" s="20"/>
    </row>
    <row r="30" spans="1:33" ht="51" customHeight="1">
      <c r="A30" s="958">
        <v>5</v>
      </c>
      <c r="B30" s="3134" t="s">
        <v>68</v>
      </c>
      <c r="C30" s="3135" t="s">
        <v>68</v>
      </c>
      <c r="D30" s="3135" t="s">
        <v>68</v>
      </c>
      <c r="E30" s="3136" t="s">
        <v>68</v>
      </c>
      <c r="F30" s="246" t="s">
        <v>194</v>
      </c>
      <c r="G30" s="897" t="str">
        <f>'XM.FILE GOC'!$E$67</f>
        <v>20~35</v>
      </c>
      <c r="H30" s="2202" t="str">
        <f>'XM.FILE GOC'!$F$67</f>
        <v>(30±4)</v>
      </c>
      <c r="I30" s="3195">
        <f>'XM.GUI MAIL'!I67</f>
        <v>28</v>
      </c>
      <c r="J30" s="3121"/>
      <c r="K30" s="3121">
        <f>'XM.FILE GOC'!L67</f>
        <v>27</v>
      </c>
      <c r="L30" s="3121"/>
      <c r="M30" s="920"/>
      <c r="N30" s="921"/>
      <c r="O30" s="921"/>
      <c r="P30" s="922"/>
      <c r="Q30" s="3121">
        <f>'XM.GUI MAIL'!P67</f>
        <v>29</v>
      </c>
      <c r="R30" s="3121"/>
      <c r="S30" s="3121">
        <f>'XM.FILE GOC'!S67</f>
        <v>30</v>
      </c>
      <c r="T30" s="3121"/>
      <c r="U30" s="920"/>
      <c r="V30" s="921"/>
      <c r="W30" s="921"/>
      <c r="X30" s="922"/>
      <c r="Y30" s="3121">
        <f>'XM.GUI MAIL'!W67</f>
        <v>30</v>
      </c>
      <c r="Z30" s="3121"/>
      <c r="AA30" s="3121">
        <f>'XM.FILE GOC'!Z67</f>
        <v>30</v>
      </c>
      <c r="AB30" s="3121"/>
      <c r="AC30" s="920"/>
      <c r="AD30" s="921"/>
      <c r="AE30" s="921"/>
      <c r="AF30" s="922"/>
      <c r="AG30" s="20"/>
    </row>
    <row r="31" spans="1:33" ht="51" customHeight="1">
      <c r="A31" s="958">
        <v>6</v>
      </c>
      <c r="B31" s="3134" t="s">
        <v>938</v>
      </c>
      <c r="C31" s="3135" t="s">
        <v>938</v>
      </c>
      <c r="D31" s="3135" t="s">
        <v>938</v>
      </c>
      <c r="E31" s="3136" t="s">
        <v>938</v>
      </c>
      <c r="F31" s="246" t="s">
        <v>194</v>
      </c>
      <c r="G31" s="897" t="str">
        <f>'XM.FILE GOC'!$E$68</f>
        <v>30-38</v>
      </c>
      <c r="H31" s="2202" t="str">
        <f>'XM.FILE GOC'!$F$68</f>
        <v>(34±2)</v>
      </c>
      <c r="I31" s="3195">
        <v>34</v>
      </c>
      <c r="J31" s="3121"/>
      <c r="K31" s="3121">
        <v>35</v>
      </c>
      <c r="L31" s="3121"/>
      <c r="M31" s="920"/>
      <c r="N31" s="921"/>
      <c r="O31" s="921"/>
      <c r="P31" s="922"/>
      <c r="Q31" s="3121">
        <v>36</v>
      </c>
      <c r="R31" s="3121"/>
      <c r="S31" s="3121">
        <v>35</v>
      </c>
      <c r="T31" s="3121"/>
      <c r="U31" s="920"/>
      <c r="V31" s="921"/>
      <c r="W31" s="921"/>
      <c r="X31" s="922"/>
      <c r="Y31" s="3121">
        <v>36</v>
      </c>
      <c r="Z31" s="3121"/>
      <c r="AA31" s="3121">
        <v>35</v>
      </c>
      <c r="AB31" s="3121"/>
      <c r="AC31" s="920"/>
      <c r="AD31" s="921"/>
      <c r="AE31" s="921"/>
      <c r="AF31" s="922"/>
      <c r="AG31" s="22"/>
    </row>
    <row r="32" spans="1:33" ht="51" customHeight="1">
      <c r="A32" s="958">
        <v>7</v>
      </c>
      <c r="B32" s="3134" t="s">
        <v>69</v>
      </c>
      <c r="C32" s="3135" t="s">
        <v>69</v>
      </c>
      <c r="D32" s="3135" t="s">
        <v>69</v>
      </c>
      <c r="E32" s="3136" t="s">
        <v>69</v>
      </c>
      <c r="F32" s="246" t="s">
        <v>194</v>
      </c>
      <c r="G32" s="897" t="str">
        <f>'XM.FILE GOC'!$E$69</f>
        <v>50~70</v>
      </c>
      <c r="H32" s="2202" t="str">
        <f>'XM.FILE GOC'!$F$69</f>
        <v>(60±10)</v>
      </c>
      <c r="I32" s="3195">
        <f>'XM.GUI MAIL'!I69</f>
        <v>53</v>
      </c>
      <c r="J32" s="3121"/>
      <c r="K32" s="3121">
        <f>'XM.FILE GOC'!L69</f>
        <v>52</v>
      </c>
      <c r="L32" s="3121"/>
      <c r="M32" s="920"/>
      <c r="N32" s="921"/>
      <c r="O32" s="921"/>
      <c r="P32" s="922"/>
      <c r="Q32" s="3121">
        <f>'XM.GUI MAIL'!P69</f>
        <v>52</v>
      </c>
      <c r="R32" s="3121"/>
      <c r="S32" s="3121">
        <f>'XM.FILE GOC'!S69</f>
        <v>52</v>
      </c>
      <c r="T32" s="3121"/>
      <c r="U32" s="920"/>
      <c r="V32" s="921"/>
      <c r="W32" s="921"/>
      <c r="X32" s="922"/>
      <c r="Y32" s="3121">
        <f>'XM.GUI MAIL'!W69</f>
        <v>52</v>
      </c>
      <c r="Z32" s="3121"/>
      <c r="AA32" s="3121">
        <f>'XM.FILE GOC'!Z69</f>
        <v>53</v>
      </c>
      <c r="AB32" s="3121"/>
      <c r="AC32" s="920"/>
      <c r="AD32" s="921"/>
      <c r="AE32" s="921"/>
      <c r="AF32" s="922"/>
      <c r="AG32" s="20"/>
    </row>
    <row r="33" spans="1:33" ht="51" customHeight="1">
      <c r="A33" s="958">
        <v>8</v>
      </c>
      <c r="B33" s="3140" t="s">
        <v>70</v>
      </c>
      <c r="C33" s="3141" t="s">
        <v>70</v>
      </c>
      <c r="D33" s="3141" t="s">
        <v>70</v>
      </c>
      <c r="E33" s="3142" t="s">
        <v>70</v>
      </c>
      <c r="F33" s="246" t="s">
        <v>194</v>
      </c>
      <c r="G33" s="897" t="str">
        <f>'XM.FILE GOC'!$E$70</f>
        <v>80~100</v>
      </c>
      <c r="H33" s="2202" t="str">
        <f>'XM.FILE GOC'!$F$70</f>
        <v>(90±5)</v>
      </c>
      <c r="I33" s="3214" t="s">
        <v>46</v>
      </c>
      <c r="J33" s="3203"/>
      <c r="K33" s="3086">
        <f>'XM.FILE GOC'!L70</f>
        <v>90</v>
      </c>
      <c r="L33" s="3086"/>
      <c r="M33" s="2178"/>
      <c r="N33" s="924"/>
      <c r="O33" s="924"/>
      <c r="P33" s="925"/>
      <c r="Q33" s="3202" t="s">
        <v>46</v>
      </c>
      <c r="R33" s="3203"/>
      <c r="S33" s="3086">
        <f>'XM.FILE GOC'!S70</f>
        <v>92</v>
      </c>
      <c r="T33" s="3086"/>
      <c r="U33" s="2178"/>
      <c r="V33" s="924"/>
      <c r="W33" s="924"/>
      <c r="X33" s="925"/>
      <c r="Y33" s="3202" t="s">
        <v>46</v>
      </c>
      <c r="Z33" s="3203"/>
      <c r="AA33" s="3086">
        <v>90</v>
      </c>
      <c r="AB33" s="3086"/>
      <c r="AC33" s="923"/>
      <c r="AD33" s="924"/>
      <c r="AE33" s="924"/>
      <c r="AF33" s="925"/>
      <c r="AG33" s="20"/>
    </row>
    <row r="34" spans="1:33" ht="51" customHeight="1">
      <c r="A34" s="46"/>
      <c r="B34" s="2415" t="s">
        <v>109</v>
      </c>
      <c r="C34" s="2416"/>
      <c r="D34" s="2416"/>
      <c r="E34" s="2416"/>
      <c r="F34" s="2416"/>
      <c r="G34" s="2416"/>
      <c r="H34" s="2416"/>
      <c r="I34" s="2416"/>
      <c r="J34" s="2416"/>
      <c r="K34" s="2416"/>
      <c r="L34" s="2416"/>
      <c r="M34" s="2416"/>
      <c r="N34" s="2416"/>
      <c r="O34" s="2416"/>
      <c r="P34" s="2416"/>
      <c r="Q34" s="2416"/>
      <c r="R34" s="2416"/>
      <c r="S34" s="2416"/>
      <c r="T34" s="2416"/>
      <c r="U34" s="2416"/>
      <c r="V34" s="2416"/>
      <c r="W34" s="2416"/>
      <c r="X34" s="2416"/>
      <c r="Y34" s="2416"/>
      <c r="Z34" s="2416"/>
      <c r="AA34" s="2416"/>
      <c r="AB34" s="2416"/>
      <c r="AC34" s="2416"/>
      <c r="AD34" s="2416"/>
      <c r="AE34" s="2416"/>
      <c r="AF34" s="2416"/>
      <c r="AG34" s="2417"/>
    </row>
    <row r="35" spans="1:33" ht="56.25" customHeight="1">
      <c r="A35" s="958" t="s">
        <v>7</v>
      </c>
      <c r="B35" s="3134" t="s">
        <v>91</v>
      </c>
      <c r="C35" s="3135"/>
      <c r="D35" s="3135"/>
      <c r="E35" s="3136"/>
      <c r="F35" s="577" t="s">
        <v>92</v>
      </c>
      <c r="G35" s="975" t="s">
        <v>1296</v>
      </c>
      <c r="H35" s="2204" t="s">
        <v>1289</v>
      </c>
      <c r="I35" s="3142" t="s">
        <v>110</v>
      </c>
      <c r="J35" s="3215"/>
      <c r="K35" s="3215"/>
      <c r="L35" s="3215"/>
      <c r="M35" s="917"/>
      <c r="N35" s="918"/>
      <c r="O35" s="918"/>
      <c r="P35" s="919"/>
      <c r="Q35" s="3215" t="s">
        <v>110</v>
      </c>
      <c r="R35" s="3215"/>
      <c r="S35" s="3215"/>
      <c r="T35" s="3215"/>
      <c r="U35" s="917"/>
      <c r="V35" s="918"/>
      <c r="W35" s="918"/>
      <c r="X35" s="919"/>
      <c r="Y35" s="3215" t="s">
        <v>110</v>
      </c>
      <c r="Z35" s="3215"/>
      <c r="AA35" s="3215"/>
      <c r="AB35" s="3215"/>
      <c r="AC35" s="917"/>
      <c r="AD35" s="918"/>
      <c r="AE35" s="918"/>
      <c r="AF35" s="919"/>
      <c r="AG35" s="72"/>
    </row>
    <row r="36" spans="1:33" ht="51" customHeight="1">
      <c r="A36" s="46">
        <v>1</v>
      </c>
      <c r="B36" s="3137" t="s">
        <v>1570</v>
      </c>
      <c r="C36" s="3138"/>
      <c r="D36" s="3138"/>
      <c r="E36" s="3139"/>
      <c r="F36" s="2856" t="s">
        <v>1641</v>
      </c>
      <c r="G36" s="897" t="str">
        <f>'XM.FILE GOC'!$E$72</f>
        <v>100-200</v>
      </c>
      <c r="H36" s="2202" t="str">
        <f>'XM.FILE GOC'!$F$72</f>
        <v>100-200</v>
      </c>
      <c r="I36" s="3194">
        <f>'XM.GUI MAIL'!I72</f>
        <v>175</v>
      </c>
      <c r="J36" s="3194"/>
      <c r="K36" s="3194"/>
      <c r="L36" s="3194"/>
      <c r="M36" s="926"/>
      <c r="N36" s="904"/>
      <c r="O36" s="904"/>
      <c r="P36" s="927"/>
      <c r="Q36" s="3193">
        <f>'XM.GUI MAIL'!P72</f>
        <v>178</v>
      </c>
      <c r="R36" s="3194"/>
      <c r="S36" s="3194"/>
      <c r="T36" s="3194"/>
      <c r="U36" s="926"/>
      <c r="V36" s="904"/>
      <c r="W36" s="904"/>
      <c r="X36" s="927"/>
      <c r="Y36" s="3193">
        <f>'XM.GUI MAIL'!W72</f>
        <v>160</v>
      </c>
      <c r="Z36" s="3194"/>
      <c r="AA36" s="3194"/>
      <c r="AB36" s="3194"/>
      <c r="AC36" s="926"/>
      <c r="AD36" s="904"/>
      <c r="AE36" s="904"/>
      <c r="AF36" s="927"/>
      <c r="AG36" s="22"/>
    </row>
    <row r="37" spans="1:33" ht="51" customHeight="1">
      <c r="A37" s="46">
        <v>2</v>
      </c>
      <c r="B37" s="3137" t="s">
        <v>1568</v>
      </c>
      <c r="C37" s="3138"/>
      <c r="D37" s="3138"/>
      <c r="E37" s="3139"/>
      <c r="F37" s="2856" t="s">
        <v>1641</v>
      </c>
      <c r="G37" s="897" t="str">
        <f>'XM.FILE GOC'!$E$73</f>
        <v>20-50</v>
      </c>
      <c r="H37" s="2202" t="str">
        <f>'XM.FILE GOC'!$F$73</f>
        <v>20-50</v>
      </c>
      <c r="I37" s="3194">
        <f>'XM.GUI MAIL'!I73</f>
        <v>30</v>
      </c>
      <c r="J37" s="3194"/>
      <c r="K37" s="3194"/>
      <c r="L37" s="3194"/>
      <c r="M37" s="928"/>
      <c r="N37" s="929"/>
      <c r="O37" s="929"/>
      <c r="P37" s="930"/>
      <c r="Q37" s="3193">
        <f>'XM.GUI MAIL'!P73</f>
        <v>32</v>
      </c>
      <c r="R37" s="3194"/>
      <c r="S37" s="3194"/>
      <c r="T37" s="3194"/>
      <c r="U37" s="928"/>
      <c r="V37" s="929"/>
      <c r="W37" s="929"/>
      <c r="X37" s="930"/>
      <c r="Y37" s="3193">
        <f>'XM.GUI MAIL'!W73</f>
        <v>24</v>
      </c>
      <c r="Z37" s="3194"/>
      <c r="AA37" s="3194"/>
      <c r="AB37" s="3194"/>
      <c r="AC37" s="928"/>
      <c r="AD37" s="929"/>
      <c r="AE37" s="929"/>
      <c r="AF37" s="930"/>
      <c r="AG37" s="22"/>
    </row>
    <row r="38" spans="1:33" ht="60" customHeight="1">
      <c r="A38" s="426"/>
      <c r="B38" s="427"/>
      <c r="C38" s="427"/>
      <c r="D38" s="427"/>
      <c r="E38" s="427"/>
      <c r="F38" s="2240"/>
      <c r="G38" s="2241"/>
      <c r="H38" s="2241"/>
      <c r="I38" s="2241"/>
      <c r="J38" s="2241"/>
      <c r="K38" s="2241"/>
      <c r="L38" s="2241"/>
      <c r="M38" s="2241"/>
      <c r="N38" s="2241"/>
      <c r="O38" s="2241"/>
      <c r="P38" s="2241"/>
      <c r="Q38" s="2241"/>
      <c r="R38" s="2241"/>
      <c r="S38" s="2241"/>
      <c r="T38" s="2241"/>
      <c r="U38" s="2241"/>
      <c r="V38" s="2241"/>
      <c r="W38" s="2241"/>
      <c r="X38" s="2241"/>
      <c r="Y38" s="2241"/>
      <c r="Z38" s="2241"/>
      <c r="AA38" s="2241"/>
      <c r="AB38" s="2241"/>
      <c r="AC38" s="2241"/>
      <c r="AD38" s="904"/>
      <c r="AE38" s="904"/>
      <c r="AF38" s="904"/>
      <c r="AG38" s="900"/>
    </row>
    <row r="39" spans="1:33" ht="28.5" customHeight="1">
      <c r="B39" s="2409" t="s">
        <v>129</v>
      </c>
      <c r="C39" s="2409"/>
      <c r="D39" s="2409"/>
      <c r="E39" s="2409"/>
      <c r="F39" s="2409"/>
      <c r="G39" s="2409"/>
      <c r="H39" s="2409"/>
      <c r="I39" s="2409"/>
      <c r="J39" s="2409"/>
      <c r="K39" s="2409"/>
      <c r="L39" s="2409"/>
      <c r="M39" s="2409"/>
      <c r="N39" s="2409"/>
      <c r="O39" s="2409"/>
      <c r="P39" s="2409"/>
      <c r="Q39" s="2409"/>
      <c r="R39" s="2409"/>
      <c r="S39" s="2409"/>
      <c r="T39" s="2409"/>
      <c r="U39" s="2409"/>
      <c r="V39" s="2409"/>
      <c r="W39" s="2409"/>
      <c r="X39" s="2409"/>
      <c r="Y39" s="2409"/>
      <c r="Z39" s="2410"/>
      <c r="AA39" s="2410"/>
      <c r="AB39" s="2411"/>
      <c r="AC39" s="2414"/>
      <c r="AD39" s="941"/>
      <c r="AE39" s="941"/>
      <c r="AF39" s="941"/>
      <c r="AG39" s="49"/>
    </row>
    <row r="40" spans="1:33" ht="46.5" customHeight="1">
      <c r="B40" s="2407" t="s">
        <v>217</v>
      </c>
      <c r="C40" s="2407"/>
      <c r="D40" s="2407"/>
      <c r="E40" s="2407"/>
      <c r="F40" s="2407"/>
      <c r="G40" s="2407"/>
      <c r="H40" s="2407"/>
      <c r="I40" s="2407"/>
      <c r="J40" s="2407"/>
      <c r="K40" s="2407"/>
      <c r="L40" s="2407"/>
      <c r="M40" s="2407"/>
      <c r="N40" s="2407"/>
      <c r="O40" s="2407"/>
      <c r="P40" s="2407"/>
      <c r="Q40" s="2407"/>
      <c r="R40" s="2407"/>
      <c r="S40" s="2407"/>
      <c r="T40" s="2407"/>
      <c r="U40" s="2407"/>
      <c r="V40" s="2407"/>
      <c r="W40" s="2407"/>
      <c r="X40" s="2407"/>
      <c r="Y40" s="2407"/>
      <c r="Z40" s="2412"/>
      <c r="AA40" s="2412"/>
      <c r="AB40" s="2413"/>
      <c r="AC40" s="2413"/>
      <c r="AD40" s="3128" t="s">
        <v>87</v>
      </c>
      <c r="AE40" s="3128"/>
      <c r="AF40" s="3130" t="s">
        <v>88</v>
      </c>
      <c r="AG40" s="3131"/>
    </row>
    <row r="41" spans="1:33" ht="38.25" customHeight="1">
      <c r="A41" s="960"/>
      <c r="B41" s="3166" t="s">
        <v>213</v>
      </c>
      <c r="C41" s="3166"/>
      <c r="D41" s="580"/>
      <c r="E41" s="581"/>
      <c r="F41" s="961"/>
      <c r="G41" s="1388" t="s">
        <v>1595</v>
      </c>
      <c r="H41" s="1812" t="str">
        <f>MENU!$AC$9</f>
        <v>Thứ 5,</v>
      </c>
      <c r="I41" s="3196" t="str">
        <f>MENU!$AD$9</f>
        <v>2024/08/01</v>
      </c>
      <c r="J41" s="3212"/>
      <c r="K41" s="3212"/>
      <c r="L41" s="3212"/>
      <c r="M41" s="936"/>
      <c r="N41" s="936"/>
      <c r="O41" s="936"/>
      <c r="P41" s="937"/>
      <c r="Q41" s="963"/>
      <c r="R41" s="963"/>
      <c r="S41" s="963"/>
      <c r="Z41" s="964"/>
      <c r="AA41" s="3208"/>
      <c r="AB41" s="3208"/>
      <c r="AC41" s="940"/>
      <c r="AD41" s="3129" t="str">
        <f>MENU!AE7</f>
        <v>Trang</v>
      </c>
      <c r="AE41" s="3129"/>
      <c r="AF41" s="3204" t="s">
        <v>11</v>
      </c>
      <c r="AG41" s="3133"/>
    </row>
    <row r="42" spans="1:33" s="51" customFormat="1" ht="54.75" customHeight="1">
      <c r="A42" s="3150" t="s">
        <v>7</v>
      </c>
      <c r="B42" s="3151" t="s">
        <v>75</v>
      </c>
      <c r="C42" s="3152"/>
      <c r="D42" s="3152"/>
      <c r="E42" s="3153"/>
      <c r="F42" s="3149" t="s">
        <v>123</v>
      </c>
      <c r="G42" s="3180" t="s">
        <v>1296</v>
      </c>
      <c r="H42" s="3185" t="s">
        <v>1289</v>
      </c>
      <c r="I42" s="3167">
        <v>0.80208333333333337</v>
      </c>
      <c r="J42" s="3168"/>
      <c r="K42" s="3168"/>
      <c r="L42" s="3169"/>
      <c r="M42" s="3123" t="s">
        <v>934</v>
      </c>
      <c r="N42" s="3124"/>
      <c r="O42" s="3124"/>
      <c r="P42" s="3125"/>
      <c r="Q42" s="3167">
        <v>0.96875</v>
      </c>
      <c r="R42" s="3168"/>
      <c r="S42" s="3168"/>
      <c r="T42" s="3169"/>
      <c r="U42" s="3123" t="s">
        <v>934</v>
      </c>
      <c r="V42" s="3124"/>
      <c r="W42" s="3124"/>
      <c r="X42" s="3125"/>
      <c r="Y42" s="3210">
        <v>0.13541666666666666</v>
      </c>
      <c r="Z42" s="3149"/>
      <c r="AA42" s="3149"/>
      <c r="AB42" s="3149"/>
      <c r="AC42" s="3123" t="s">
        <v>934</v>
      </c>
      <c r="AD42" s="3124"/>
      <c r="AE42" s="3124"/>
      <c r="AF42" s="3125"/>
      <c r="AG42" s="3216" t="s">
        <v>89</v>
      </c>
    </row>
    <row r="43" spans="1:33" s="51" customFormat="1" ht="48" customHeight="1">
      <c r="A43" s="3150"/>
      <c r="B43" s="3154"/>
      <c r="C43" s="3155"/>
      <c r="D43" s="3155"/>
      <c r="E43" s="3156"/>
      <c r="F43" s="3150"/>
      <c r="G43" s="3181"/>
      <c r="H43" s="3186"/>
      <c r="I43" s="948" t="s">
        <v>128</v>
      </c>
      <c r="J43" s="3173" t="s">
        <v>1</v>
      </c>
      <c r="K43" s="3174"/>
      <c r="L43" s="3175"/>
      <c r="M43" s="906" t="s">
        <v>935</v>
      </c>
      <c r="N43" s="3126" t="s">
        <v>1</v>
      </c>
      <c r="O43" s="3126"/>
      <c r="P43" s="3127"/>
      <c r="Q43" s="948" t="s">
        <v>128</v>
      </c>
      <c r="R43" s="3173" t="s">
        <v>1</v>
      </c>
      <c r="S43" s="3174"/>
      <c r="T43" s="3175"/>
      <c r="U43" s="906" t="s">
        <v>935</v>
      </c>
      <c r="V43" s="3126" t="s">
        <v>1</v>
      </c>
      <c r="W43" s="3126"/>
      <c r="X43" s="3127"/>
      <c r="Y43" s="948" t="s">
        <v>128</v>
      </c>
      <c r="Z43" s="3173" t="s">
        <v>1</v>
      </c>
      <c r="AA43" s="3174"/>
      <c r="AB43" s="3175"/>
      <c r="AC43" s="906" t="s">
        <v>935</v>
      </c>
      <c r="AD43" s="3126" t="s">
        <v>1</v>
      </c>
      <c r="AE43" s="3126"/>
      <c r="AF43" s="3127"/>
      <c r="AG43" s="3217"/>
    </row>
    <row r="44" spans="1:33" ht="51.75" customHeight="1">
      <c r="A44" s="3206">
        <v>1</v>
      </c>
      <c r="B44" s="3151" t="s">
        <v>130</v>
      </c>
      <c r="C44" s="3157"/>
      <c r="D44" s="3164" t="s">
        <v>229</v>
      </c>
      <c r="E44" s="3165"/>
      <c r="F44" s="46" t="s">
        <v>4</v>
      </c>
      <c r="G44" s="897" t="str">
        <f>'XM.FILE GOC'!$E$43</f>
        <v>60~80</v>
      </c>
      <c r="H44" s="2202" t="str">
        <f>'XM.FILE GOC'!$F$43</f>
        <v>(70±5)</v>
      </c>
      <c r="I44" s="1398">
        <f>'XM.FILE GOC'!AD43</f>
        <v>71.8</v>
      </c>
      <c r="J44" s="58" t="s">
        <v>8</v>
      </c>
      <c r="K44" s="586">
        <f>'XM.FILE GOC'!AG43</f>
        <v>0</v>
      </c>
      <c r="L44" s="587" t="s">
        <v>9</v>
      </c>
      <c r="M44" s="907"/>
      <c r="N44" s="910" t="str">
        <f>IF(M44="","","+")</f>
        <v/>
      </c>
      <c r="O44" s="933" t="str">
        <f>IF(M44="","",('XM.FILE GOC'!$G$43-M44)*2693/1000)</f>
        <v/>
      </c>
      <c r="P44" s="2895" t="str">
        <f>IF(O44="","","kg")</f>
        <v/>
      </c>
      <c r="Q44" s="1398">
        <f>'XM.FILE GOC'!AK43</f>
        <v>71</v>
      </c>
      <c r="R44" s="58" t="s">
        <v>8</v>
      </c>
      <c r="S44" s="586">
        <f>'XM.FILE GOC'!AN43</f>
        <v>0</v>
      </c>
      <c r="T44" s="587" t="s">
        <v>9</v>
      </c>
      <c r="U44" s="907"/>
      <c r="V44" s="910" t="str">
        <f>IF(U44="","","+")</f>
        <v/>
      </c>
      <c r="W44" s="933" t="str">
        <f>IF(U44="","",('XM.FILE GOC'!$G$43-U44)*2693/1000)</f>
        <v/>
      </c>
      <c r="X44" s="2895" t="str">
        <f>IF(W44="","","kg")</f>
        <v/>
      </c>
      <c r="Y44" s="1398">
        <f>'XM.FILE GOC'!AR43</f>
        <v>70</v>
      </c>
      <c r="Z44" s="58" t="s">
        <v>8</v>
      </c>
      <c r="AA44" s="586">
        <f>'XM.FILE GOC'!AU43</f>
        <v>0</v>
      </c>
      <c r="AB44" s="587" t="s">
        <v>9</v>
      </c>
      <c r="AC44" s="907"/>
      <c r="AD44" s="910" t="str">
        <f>IF(AC44="","","+")</f>
        <v/>
      </c>
      <c r="AE44" s="933" t="str">
        <f>IF(AC44="","",('XM.FILE GOC'!$G$43-AC44)*2693/1000)</f>
        <v/>
      </c>
      <c r="AF44" s="2895" t="str">
        <f>IF(AE44="","","kg")</f>
        <v/>
      </c>
      <c r="AG44" s="71" t="s">
        <v>12</v>
      </c>
    </row>
    <row r="45" spans="1:33" ht="51.75" customHeight="1">
      <c r="A45" s="3207"/>
      <c r="B45" s="3158"/>
      <c r="C45" s="3159"/>
      <c r="D45" s="3164" t="s">
        <v>230</v>
      </c>
      <c r="E45" s="3165"/>
      <c r="F45" s="263"/>
      <c r="G45" s="897" t="s">
        <v>939</v>
      </c>
      <c r="H45" s="2202"/>
      <c r="I45" s="1676"/>
      <c r="J45" s="58"/>
      <c r="K45" s="952">
        <f>K44/25*7.5</f>
        <v>0</v>
      </c>
      <c r="L45" s="587" t="s">
        <v>10</v>
      </c>
      <c r="M45" s="907"/>
      <c r="N45" s="910" t="str">
        <f>IF(M44="","","+")</f>
        <v/>
      </c>
      <c r="O45" s="1586" t="str">
        <f>IF(O44="","",O44/25*7.5)</f>
        <v/>
      </c>
      <c r="P45" s="2895" t="str">
        <f>IF(O44="","","L")</f>
        <v/>
      </c>
      <c r="Q45" s="1676"/>
      <c r="R45" s="58"/>
      <c r="S45" s="952">
        <f>S44/25*7.5</f>
        <v>0</v>
      </c>
      <c r="T45" s="587" t="s">
        <v>10</v>
      </c>
      <c r="U45" s="907"/>
      <c r="V45" s="910" t="str">
        <f>IF(U44="","","+")</f>
        <v/>
      </c>
      <c r="W45" s="1586" t="str">
        <f>IF(W44="","",W44/25*7.5)</f>
        <v/>
      </c>
      <c r="X45" s="2895" t="str">
        <f>IF(W44="","","L")</f>
        <v/>
      </c>
      <c r="Y45" s="1676"/>
      <c r="Z45" s="58"/>
      <c r="AA45" s="952">
        <f>AA44/25*7.5</f>
        <v>0</v>
      </c>
      <c r="AB45" s="587" t="s">
        <v>10</v>
      </c>
      <c r="AC45" s="907"/>
      <c r="AD45" s="910" t="str">
        <f>IF(AC44="","","+")</f>
        <v/>
      </c>
      <c r="AE45" s="1586" t="str">
        <f>IF(AE44="","",AE44/25*7.5)</f>
        <v/>
      </c>
      <c r="AF45" s="2895" t="str">
        <f>IF(AE44="","","L")</f>
        <v/>
      </c>
      <c r="AG45" s="270"/>
    </row>
    <row r="46" spans="1:33" ht="51.75" customHeight="1">
      <c r="A46" s="3206">
        <v>2</v>
      </c>
      <c r="B46" s="3151" t="s">
        <v>131</v>
      </c>
      <c r="C46" s="3157"/>
      <c r="D46" s="3164" t="s">
        <v>229</v>
      </c>
      <c r="E46" s="3165"/>
      <c r="F46" s="46" t="s">
        <v>4</v>
      </c>
      <c r="G46" s="897" t="str">
        <f>'XM.FILE GOC'!$E$45</f>
        <v>60~80</v>
      </c>
      <c r="H46" s="2202" t="str">
        <f>'XM.FILE GOC'!$F$45</f>
        <v>(70±5)</v>
      </c>
      <c r="I46" s="1398">
        <f>'XM.FILE GOC'!AD45</f>
        <v>73.986000000000004</v>
      </c>
      <c r="J46" s="58" t="s">
        <v>8</v>
      </c>
      <c r="K46" s="586">
        <f>'XM.FILE GOC'!AG45</f>
        <v>0</v>
      </c>
      <c r="L46" s="587" t="s">
        <v>9</v>
      </c>
      <c r="M46" s="907"/>
      <c r="N46" s="910" t="str">
        <f>IF(M46="","","+")</f>
        <v/>
      </c>
      <c r="O46" s="1587" t="str">
        <f>IF(M46="","",('XM.FILE GOC'!$G$45-M46)*3305/1000)</f>
        <v/>
      </c>
      <c r="P46" s="2895" t="str">
        <f>IF(O46="","","kg")</f>
        <v/>
      </c>
      <c r="Q46" s="1398">
        <f>'XM.FILE GOC'!AK45</f>
        <v>73.5</v>
      </c>
      <c r="R46" s="58" t="s">
        <v>8</v>
      </c>
      <c r="S46" s="586">
        <f>'XM.FILE GOC'!AN45</f>
        <v>0</v>
      </c>
      <c r="T46" s="587" t="s">
        <v>9</v>
      </c>
      <c r="U46" s="907"/>
      <c r="V46" s="910" t="str">
        <f>IF(U46="","","+")</f>
        <v/>
      </c>
      <c r="W46" s="1587" t="str">
        <f>IF(U46="","",('XM.FILE GOC'!$G$45-U46)*3305/1000)</f>
        <v/>
      </c>
      <c r="X46" s="2895" t="str">
        <f>IF(W46="","","kg")</f>
        <v/>
      </c>
      <c r="Y46" s="1398">
        <f>'XM.FILE GOC'!AR45</f>
        <v>73</v>
      </c>
      <c r="Z46" s="58" t="s">
        <v>8</v>
      </c>
      <c r="AA46" s="586">
        <f>'XM.FILE GOC'!AU45</f>
        <v>0</v>
      </c>
      <c r="AB46" s="587" t="s">
        <v>9</v>
      </c>
      <c r="AC46" s="907"/>
      <c r="AD46" s="910" t="str">
        <f>IF(AC46="","","+")</f>
        <v/>
      </c>
      <c r="AE46" s="1587" t="str">
        <f>IF(AC46="","",('XM.FILE GOC'!$G$45-AC46)*3305/1000)</f>
        <v/>
      </c>
      <c r="AF46" s="2895" t="str">
        <f>IF(AE46="","","kg")</f>
        <v/>
      </c>
      <c r="AG46" s="71" t="s">
        <v>12</v>
      </c>
    </row>
    <row r="47" spans="1:33" ht="51.75" customHeight="1">
      <c r="A47" s="3207"/>
      <c r="B47" s="3158"/>
      <c r="C47" s="3159"/>
      <c r="D47" s="3164" t="s">
        <v>230</v>
      </c>
      <c r="E47" s="3165"/>
      <c r="F47" s="263"/>
      <c r="G47" s="897" t="s">
        <v>939</v>
      </c>
      <c r="H47" s="2202"/>
      <c r="I47" s="1676"/>
      <c r="J47" s="58"/>
      <c r="K47" s="952">
        <f>K46/25*7.5</f>
        <v>0</v>
      </c>
      <c r="L47" s="587" t="s">
        <v>10</v>
      </c>
      <c r="M47" s="907"/>
      <c r="N47" s="910" t="str">
        <f>IF(M46="","","+")</f>
        <v/>
      </c>
      <c r="O47" s="1586" t="str">
        <f>IF(O46="","",O46/25*7.5)</f>
        <v/>
      </c>
      <c r="P47" s="2895" t="str">
        <f>IF(O46="","","L")</f>
        <v/>
      </c>
      <c r="Q47" s="1676"/>
      <c r="R47" s="58"/>
      <c r="S47" s="952">
        <f>S46/25*7.5</f>
        <v>0</v>
      </c>
      <c r="T47" s="587" t="s">
        <v>10</v>
      </c>
      <c r="U47" s="907"/>
      <c r="V47" s="910" t="str">
        <f>IF(U46="","","+")</f>
        <v/>
      </c>
      <c r="W47" s="1586" t="str">
        <f>IF(W46="","",W46/25*7.5)</f>
        <v/>
      </c>
      <c r="X47" s="2895" t="str">
        <f>IF(W46="","","L")</f>
        <v/>
      </c>
      <c r="Y47" s="1676"/>
      <c r="Z47" s="58"/>
      <c r="AA47" s="952">
        <f>AA46/25*7.5</f>
        <v>0</v>
      </c>
      <c r="AB47" s="587" t="s">
        <v>10</v>
      </c>
      <c r="AC47" s="907"/>
      <c r="AD47" s="910" t="str">
        <f>IF(AC46="","","+")</f>
        <v/>
      </c>
      <c r="AE47" s="1586" t="str">
        <f>IF(AE46="","",AE46/25*7.5)</f>
        <v/>
      </c>
      <c r="AF47" s="2895" t="str">
        <f>IF(AE46="","","L")</f>
        <v/>
      </c>
      <c r="AG47" s="270"/>
    </row>
    <row r="48" spans="1:33" ht="51.75" customHeight="1">
      <c r="A48" s="3206">
        <v>3</v>
      </c>
      <c r="B48" s="3162" t="s">
        <v>132</v>
      </c>
      <c r="C48" s="3163"/>
      <c r="D48" s="3134" t="s">
        <v>231</v>
      </c>
      <c r="E48" s="3136" t="s">
        <v>231</v>
      </c>
      <c r="F48" s="46" t="s">
        <v>4</v>
      </c>
      <c r="G48" s="897" t="str">
        <f>'XM.FILE GOC'!$E$47</f>
        <v>50~70</v>
      </c>
      <c r="H48" s="2202" t="str">
        <f>'XM.FILE GOC'!$F$47</f>
        <v>(60±10)</v>
      </c>
      <c r="I48" s="1398">
        <f>'XM.FILE GOC'!AD47</f>
        <v>62.370000000000005</v>
      </c>
      <c r="J48" s="58" t="s">
        <v>8</v>
      </c>
      <c r="K48" s="586">
        <f>'XM.FILE GOC'!AG47</f>
        <v>0</v>
      </c>
      <c r="L48" s="587" t="s">
        <v>9</v>
      </c>
      <c r="M48" s="907"/>
      <c r="N48" s="910" t="str">
        <f>IF(M48="","","+")</f>
        <v/>
      </c>
      <c r="O48" s="1587" t="str">
        <f>IF(M48="","",('XM.FILE GOC'!$G$47-M48)*1156/1000)</f>
        <v/>
      </c>
      <c r="P48" s="2895" t="str">
        <f>IF(O48="","","kg")</f>
        <v/>
      </c>
      <c r="Q48" s="1398">
        <f>'XM.FILE GOC'!AK47</f>
        <v>60.983999999999995</v>
      </c>
      <c r="R48" s="58" t="s">
        <v>8</v>
      </c>
      <c r="S48" s="586">
        <f>'XM.FILE GOC'!AN47</f>
        <v>0</v>
      </c>
      <c r="T48" s="587" t="s">
        <v>9</v>
      </c>
      <c r="U48" s="907"/>
      <c r="V48" s="910" t="str">
        <f>IF(U48="","","+")</f>
        <v/>
      </c>
      <c r="W48" s="1587" t="str">
        <f>IF(U48="","",('XM.FILE GOC'!$G$47-U48)*1156/1000)</f>
        <v/>
      </c>
      <c r="X48" s="2895" t="str">
        <f>IF(W48="","","kg")</f>
        <v/>
      </c>
      <c r="Y48" s="1398">
        <f>'XM.FILE GOC'!AR47</f>
        <v>59.598000000000006</v>
      </c>
      <c r="Z48" s="58" t="s">
        <v>8</v>
      </c>
      <c r="AA48" s="586">
        <f>'XM.FILE GOC'!AU47</f>
        <v>0.46471199999999296</v>
      </c>
      <c r="AB48" s="587" t="s">
        <v>9</v>
      </c>
      <c r="AC48" s="907"/>
      <c r="AD48" s="910" t="str">
        <f>IF(AC48="","","+")</f>
        <v/>
      </c>
      <c r="AE48" s="1587" t="str">
        <f>IF(AC48="","",('XM.FILE GOC'!$G$47-AC48)*1156/1000)</f>
        <v/>
      </c>
      <c r="AF48" s="2895" t="str">
        <f>IF(AE48="","","kg")</f>
        <v/>
      </c>
      <c r="AG48" s="71" t="s">
        <v>12</v>
      </c>
    </row>
    <row r="49" spans="1:33" ht="51.75" customHeight="1">
      <c r="A49" s="3213"/>
      <c r="B49" s="3163"/>
      <c r="C49" s="3163"/>
      <c r="D49" s="3134" t="s">
        <v>232</v>
      </c>
      <c r="E49" s="3136" t="s">
        <v>232</v>
      </c>
      <c r="F49" s="263"/>
      <c r="G49" s="897" t="s">
        <v>978</v>
      </c>
      <c r="H49" s="2202"/>
      <c r="I49" s="1676"/>
      <c r="J49" s="58"/>
      <c r="K49" s="952">
        <f>K48/25*7</f>
        <v>0</v>
      </c>
      <c r="L49" s="587" t="s">
        <v>10</v>
      </c>
      <c r="M49" s="907"/>
      <c r="N49" s="910" t="str">
        <f>IF(M48="","","+")</f>
        <v/>
      </c>
      <c r="O49" s="1586" t="str">
        <f>IF(O48="","",O48/25*7)</f>
        <v/>
      </c>
      <c r="P49" s="2895" t="str">
        <f>IF(O48="","","L")</f>
        <v/>
      </c>
      <c r="Q49" s="1676"/>
      <c r="R49" s="58"/>
      <c r="S49" s="952">
        <f>S48/25*7</f>
        <v>0</v>
      </c>
      <c r="T49" s="587" t="s">
        <v>10</v>
      </c>
      <c r="U49" s="907"/>
      <c r="V49" s="910" t="str">
        <f>IF(U48="","","+")</f>
        <v/>
      </c>
      <c r="W49" s="1586" t="str">
        <f>IF(W48="","",W48/25*7)</f>
        <v/>
      </c>
      <c r="X49" s="2895" t="str">
        <f>IF(W48="","","L")</f>
        <v/>
      </c>
      <c r="Y49" s="1676"/>
      <c r="Z49" s="58"/>
      <c r="AA49" s="952">
        <f>AA48/25*7</f>
        <v>0.13011935999999805</v>
      </c>
      <c r="AB49" s="587" t="s">
        <v>10</v>
      </c>
      <c r="AC49" s="907"/>
      <c r="AD49" s="910" t="str">
        <f>IF(AC48="","","+")</f>
        <v/>
      </c>
      <c r="AE49" s="1586" t="str">
        <f>IF(AE48="","",AE48/25*7)</f>
        <v/>
      </c>
      <c r="AF49" s="2895" t="str">
        <f>IF(AE48="","","L")</f>
        <v/>
      </c>
      <c r="AG49" s="20"/>
    </row>
    <row r="50" spans="1:33" ht="51.75" customHeight="1">
      <c r="A50" s="3206">
        <v>4</v>
      </c>
      <c r="B50" s="3162" t="s">
        <v>133</v>
      </c>
      <c r="C50" s="3163"/>
      <c r="D50" s="3134" t="s">
        <v>231</v>
      </c>
      <c r="E50" s="3136" t="s">
        <v>231</v>
      </c>
      <c r="F50" s="46" t="s">
        <v>4</v>
      </c>
      <c r="G50" s="897" t="str">
        <f>'XM.FILE GOC'!$E$49</f>
        <v>50~70</v>
      </c>
      <c r="H50" s="2202" t="str">
        <f>'XM.FILE GOC'!$F$49</f>
        <v>(60±10)</v>
      </c>
      <c r="I50" s="1398">
        <f>'XM.FILE GOC'!AD49</f>
        <v>57.75</v>
      </c>
      <c r="J50" s="58" t="s">
        <v>8</v>
      </c>
      <c r="K50" s="586">
        <f>'XM.FILE GOC'!AG49</f>
        <v>3.2827500000000001</v>
      </c>
      <c r="L50" s="587" t="s">
        <v>9</v>
      </c>
      <c r="M50" s="907">
        <v>61.5</v>
      </c>
      <c r="N50" s="910" t="str">
        <f>IF(M50="","","+")</f>
        <v>+</v>
      </c>
      <c r="O50" s="1587">
        <f>IF(M50="","",('XM.FILE GOC'!$G$49-M50)*1459/1000)</f>
        <v>-2.1884999999999999</v>
      </c>
      <c r="P50" s="2895" t="str">
        <f>IF(O50="","","kg")</f>
        <v>kg</v>
      </c>
      <c r="Q50" s="1398">
        <f>'XM.FILE GOC'!AK49</f>
        <v>65.603999999999999</v>
      </c>
      <c r="R50" s="58" t="s">
        <v>8</v>
      </c>
      <c r="S50" s="586">
        <f>'XM.FILE GOC'!AN49</f>
        <v>0</v>
      </c>
      <c r="T50" s="587" t="s">
        <v>9</v>
      </c>
      <c r="U50" s="907"/>
      <c r="V50" s="910" t="str">
        <f>IF(U50="","","+")</f>
        <v/>
      </c>
      <c r="W50" s="1587" t="str">
        <f>IF(U50="","",('XM.FILE GOC'!$G$49-U50)*1459/1000)</f>
        <v/>
      </c>
      <c r="X50" s="2895" t="str">
        <f>IF(W50="","","kg")</f>
        <v/>
      </c>
      <c r="Y50" s="1398">
        <f>'XM.FILE GOC'!AR49</f>
        <v>65</v>
      </c>
      <c r="Z50" s="58" t="s">
        <v>8</v>
      </c>
      <c r="AA50" s="586">
        <f>'XM.FILE GOC'!AU49</f>
        <v>0</v>
      </c>
      <c r="AB50" s="587" t="s">
        <v>9</v>
      </c>
      <c r="AC50" s="907"/>
      <c r="AD50" s="910" t="str">
        <f>IF(AC50="","","+")</f>
        <v/>
      </c>
      <c r="AE50" s="1587" t="str">
        <f>IF(AC50="","",('XM.FILE GOC'!$G$49-AC50)*1459/1000)</f>
        <v/>
      </c>
      <c r="AF50" s="2895" t="str">
        <f>IF(AE50="","","kg")</f>
        <v/>
      </c>
      <c r="AG50" s="71" t="s">
        <v>12</v>
      </c>
    </row>
    <row r="51" spans="1:33" ht="51.75" customHeight="1">
      <c r="A51" s="3213"/>
      <c r="B51" s="3163"/>
      <c r="C51" s="3163"/>
      <c r="D51" s="3134" t="s">
        <v>232</v>
      </c>
      <c r="E51" s="3136" t="s">
        <v>232</v>
      </c>
      <c r="F51" s="263"/>
      <c r="G51" s="897" t="s">
        <v>978</v>
      </c>
      <c r="H51" s="2202"/>
      <c r="I51" s="1676"/>
      <c r="J51" s="58"/>
      <c r="K51" s="952">
        <f>K50/25*7</f>
        <v>0.91917000000000004</v>
      </c>
      <c r="L51" s="587" t="s">
        <v>10</v>
      </c>
      <c r="M51" s="907"/>
      <c r="N51" s="910" t="str">
        <f>IF(M50="","","+")</f>
        <v>+</v>
      </c>
      <c r="O51" s="1586">
        <f>IF(O50="","",O50/25*7)</f>
        <v>-0.61277999999999999</v>
      </c>
      <c r="P51" s="2895" t="str">
        <f>IF(O50="","","L")</f>
        <v>L</v>
      </c>
      <c r="Q51" s="1676"/>
      <c r="R51" s="58"/>
      <c r="S51" s="952">
        <f>S50/25*7</f>
        <v>0</v>
      </c>
      <c r="T51" s="587" t="s">
        <v>10</v>
      </c>
      <c r="U51" s="907"/>
      <c r="V51" s="910" t="str">
        <f>IF(U50="","","+")</f>
        <v/>
      </c>
      <c r="W51" s="1586" t="str">
        <f>IF(W50="","",W50/25*7)</f>
        <v/>
      </c>
      <c r="X51" s="2895" t="str">
        <f>IF(W50="","","L")</f>
        <v/>
      </c>
      <c r="Y51" s="1676"/>
      <c r="Z51" s="58"/>
      <c r="AA51" s="952">
        <f>AA50/25*7</f>
        <v>0</v>
      </c>
      <c r="AB51" s="587" t="s">
        <v>10</v>
      </c>
      <c r="AC51" s="907"/>
      <c r="AD51" s="910" t="str">
        <f>IF(AC50="","","+")</f>
        <v/>
      </c>
      <c r="AE51" s="1586" t="str">
        <f>IF(AE50="","",AE50/25*7)</f>
        <v/>
      </c>
      <c r="AF51" s="2895" t="str">
        <f>IF(AE50="","","L")</f>
        <v/>
      </c>
      <c r="AG51" s="20"/>
    </row>
    <row r="52" spans="1:33" ht="51.75" customHeight="1">
      <c r="A52" s="46">
        <v>5</v>
      </c>
      <c r="B52" s="3134" t="s">
        <v>78</v>
      </c>
      <c r="C52" s="3135"/>
      <c r="D52" s="3135"/>
      <c r="E52" s="3136"/>
      <c r="F52" s="46" t="s">
        <v>4</v>
      </c>
      <c r="G52" s="897" t="str">
        <f>'XM.FILE GOC'!$E$51</f>
        <v>130 - 150</v>
      </c>
      <c r="H52" s="2202" t="str">
        <f>'XM.FILE GOC'!$F$51</f>
        <v>(140±7)</v>
      </c>
      <c r="I52" s="1755">
        <f>'XM.FILE GOC'!AD51</f>
        <v>143.19999999999999</v>
      </c>
      <c r="J52" s="58" t="s">
        <v>8</v>
      </c>
      <c r="K52" s="586">
        <f>'XM.FILE GOC'!AG51</f>
        <v>0</v>
      </c>
      <c r="L52" s="587" t="s">
        <v>9</v>
      </c>
      <c r="M52" s="907"/>
      <c r="N52" s="910" t="str">
        <f>IF(M52="","","+")</f>
        <v/>
      </c>
      <c r="O52" s="933" t="str">
        <f>IF(M52="","",('XM.FILE GOC'!$G$51-M52)*19951/1000)</f>
        <v/>
      </c>
      <c r="P52" s="2895" t="str">
        <f>IF(O52="","","kg")</f>
        <v/>
      </c>
      <c r="Q52" s="1755">
        <f>'XM.FILE GOC'!AK51</f>
        <v>144</v>
      </c>
      <c r="R52" s="58" t="s">
        <v>8</v>
      </c>
      <c r="S52" s="586">
        <f>'XM.FILE GOC'!AN51</f>
        <v>0</v>
      </c>
      <c r="T52" s="587" t="s">
        <v>9</v>
      </c>
      <c r="U52" s="907"/>
      <c r="V52" s="910" t="str">
        <f>IF(U52="","","+")</f>
        <v/>
      </c>
      <c r="W52" s="933" t="str">
        <f>IF(U52="","",('XM.FILE GOC'!$G$51-U52)*19951/1000)</f>
        <v/>
      </c>
      <c r="X52" s="2895" t="str">
        <f>IF(W52="","","kg")</f>
        <v/>
      </c>
      <c r="Y52" s="1423">
        <f>'XM.FILE GOC'!AR51</f>
        <v>144</v>
      </c>
      <c r="Z52" s="58" t="s">
        <v>8</v>
      </c>
      <c r="AA52" s="586">
        <f>'XM.FILE GOC'!AU51</f>
        <v>0</v>
      </c>
      <c r="AB52" s="587" t="s">
        <v>9</v>
      </c>
      <c r="AC52" s="907"/>
      <c r="AD52" s="910" t="str">
        <f>IF(AC52="","","+")</f>
        <v/>
      </c>
      <c r="AE52" s="933" t="str">
        <f>IF(AC52="","",('XM.FILE GOC'!$G$51-AC52)*19951/1000)</f>
        <v/>
      </c>
      <c r="AF52" s="2895" t="str">
        <f>IF(AE52="","","kg")</f>
        <v/>
      </c>
      <c r="AG52" s="71" t="s">
        <v>13</v>
      </c>
    </row>
    <row r="53" spans="1:33" ht="51.75" customHeight="1">
      <c r="A53" s="46">
        <v>6</v>
      </c>
      <c r="B53" s="3134" t="s">
        <v>56</v>
      </c>
      <c r="C53" s="3135"/>
      <c r="D53" s="3135"/>
      <c r="E53" s="3136"/>
      <c r="F53" s="46" t="s">
        <v>4</v>
      </c>
      <c r="G53" s="897" t="str">
        <f>'XM.FILE GOC'!$E$52</f>
        <v>8~12</v>
      </c>
      <c r="H53" s="2202" t="str">
        <f>'XM.FILE GOC'!$F$52</f>
        <v>(10±2)</v>
      </c>
      <c r="I53" s="1731">
        <f>'XM.FILE GOC'!AD52</f>
        <v>9.879999999999999</v>
      </c>
      <c r="J53" s="949" t="s">
        <v>8</v>
      </c>
      <c r="K53" s="950">
        <f>'XM.FILE GOC'!AG52</f>
        <v>2.39412000000002</v>
      </c>
      <c r="L53" s="18" t="s">
        <v>9</v>
      </c>
      <c r="M53" s="907">
        <v>9.9</v>
      </c>
      <c r="N53" s="910" t="str">
        <f t="shared" ref="N53:N60" si="3">IF(M53="","","+")</f>
        <v>+</v>
      </c>
      <c r="O53" s="933">
        <f>IF(M53="","",('XM.FILE GOC'!$G$52-M53)*19951/1000)</f>
        <v>1.9950999999999928</v>
      </c>
      <c r="P53" s="2895" t="str">
        <f>IF(O53="","","kg")</f>
        <v>kg</v>
      </c>
      <c r="Q53" s="1731">
        <f>'XM.FILE GOC'!AK52</f>
        <v>9.879999999999999</v>
      </c>
      <c r="R53" s="58" t="s">
        <v>8</v>
      </c>
      <c r="S53" s="586">
        <f>'XM.FILE GOC'!AN52</f>
        <v>2.39412000000002</v>
      </c>
      <c r="T53" s="18" t="s">
        <v>9</v>
      </c>
      <c r="U53" s="907">
        <v>9.9</v>
      </c>
      <c r="V53" s="910" t="str">
        <f t="shared" ref="V53:V60" si="4">IF(U53="","","+")</f>
        <v>+</v>
      </c>
      <c r="W53" s="933">
        <f>IF(U53="","",('XM.FILE GOC'!$G$52-U53)*19951/1000)</f>
        <v>1.9950999999999928</v>
      </c>
      <c r="X53" s="2895" t="str">
        <f>IF(W53="","","kg")</f>
        <v>kg</v>
      </c>
      <c r="Y53" s="594">
        <f>'XM.FILE GOC'!AR52</f>
        <v>10.01</v>
      </c>
      <c r="Z53" s="58" t="s">
        <v>8</v>
      </c>
      <c r="AA53" s="586">
        <f>'XM.FILE GOC'!AU52</f>
        <v>0</v>
      </c>
      <c r="AB53" s="909" t="s">
        <v>9</v>
      </c>
      <c r="AC53" s="907"/>
      <c r="AD53" s="910" t="str">
        <f t="shared" ref="AD53:AD60" si="5">IF(AC53="","","+")</f>
        <v/>
      </c>
      <c r="AE53" s="933" t="str">
        <f>IF(AC53="","",('XM.FILE GOC'!$G$52-AC53)*19951/1000)</f>
        <v/>
      </c>
      <c r="AF53" s="2895" t="str">
        <f>IF(AE53="","","kg")</f>
        <v/>
      </c>
      <c r="AG53" s="71" t="s">
        <v>14</v>
      </c>
    </row>
    <row r="54" spans="1:33" ht="51.75" customHeight="1">
      <c r="A54" s="3206">
        <v>7</v>
      </c>
      <c r="B54" s="3151" t="s">
        <v>936</v>
      </c>
      <c r="C54" s="3152"/>
      <c r="D54" s="3152"/>
      <c r="E54" s="3153"/>
      <c r="F54" s="46" t="s">
        <v>3</v>
      </c>
      <c r="G54" s="897" t="str">
        <f>'XM.FILE GOC'!$E$53</f>
        <v xml:space="preserve">6~10 </v>
      </c>
      <c r="H54" s="2202" t="str">
        <f>'XM.FILE GOC'!$F$53</f>
        <v>(7±1)</v>
      </c>
      <c r="I54" s="1731">
        <f>'XM.FILE GOC'!AD53</f>
        <v>7.1736800000000001</v>
      </c>
      <c r="J54" s="949" t="s">
        <v>8</v>
      </c>
      <c r="K54" s="950">
        <f>'XM.FILE GOC'!AG53</f>
        <v>0</v>
      </c>
      <c r="L54" s="951" t="s">
        <v>10</v>
      </c>
      <c r="M54" s="907"/>
      <c r="N54" s="910" t="str">
        <f t="shared" si="3"/>
        <v/>
      </c>
      <c r="O54" s="933" t="str">
        <f>IF(M54="","",('XM.FILE GOC'!$G$53-M54)*575/108)</f>
        <v/>
      </c>
      <c r="P54" s="2895" t="str">
        <f>IF(O54="","","L")</f>
        <v/>
      </c>
      <c r="Q54" s="1731">
        <f>'XM.FILE GOC'!AK53</f>
        <v>7.0042</v>
      </c>
      <c r="R54" s="949" t="s">
        <v>8</v>
      </c>
      <c r="S54" s="950">
        <f>'XM.FILE GOC'!AN53</f>
        <v>0</v>
      </c>
      <c r="T54" s="951" t="s">
        <v>10</v>
      </c>
      <c r="U54" s="907"/>
      <c r="V54" s="910" t="str">
        <f t="shared" si="4"/>
        <v/>
      </c>
      <c r="W54" s="933" t="str">
        <f>IF(U54="","",('XM.FILE GOC'!$G$53-U54)*575/108)</f>
        <v/>
      </c>
      <c r="X54" s="2895" t="str">
        <f>IF(W54="","","L")</f>
        <v/>
      </c>
      <c r="Y54" s="594">
        <f>'XM.FILE GOC'!AR53</f>
        <v>6.5</v>
      </c>
      <c r="Z54" s="58" t="s">
        <v>8</v>
      </c>
      <c r="AA54" s="586">
        <f>'XM.FILE GOC'!AU53</f>
        <v>2.875</v>
      </c>
      <c r="AB54" s="587" t="s">
        <v>10</v>
      </c>
      <c r="AC54" s="907">
        <v>6.8</v>
      </c>
      <c r="AD54" s="910" t="str">
        <f t="shared" si="5"/>
        <v>+</v>
      </c>
      <c r="AE54" s="933">
        <f>IF(AC54="","",('XM.FILE GOC'!$G$53-AC54)*575/108)</f>
        <v>1.0648148148148158</v>
      </c>
      <c r="AF54" s="2895" t="str">
        <f>IF(AE54="","","L")</f>
        <v>L</v>
      </c>
      <c r="AG54" s="71"/>
    </row>
    <row r="55" spans="1:33" ht="51.75" customHeight="1">
      <c r="A55" s="3213"/>
      <c r="B55" s="3154"/>
      <c r="C55" s="3155"/>
      <c r="D55" s="3155"/>
      <c r="E55" s="3156"/>
      <c r="F55" s="46" t="s">
        <v>5</v>
      </c>
      <c r="G55" s="897" t="str">
        <f>'XM.FILE GOC'!$E$54</f>
        <v>2~2.5</v>
      </c>
      <c r="H55" s="2202" t="str">
        <f>'XM.FILE GOC'!$F$54</f>
        <v>(2.3±0.1 )</v>
      </c>
      <c r="I55" s="1731">
        <f>'XM.FILE GOC'!AD54</f>
        <v>2.4</v>
      </c>
      <c r="J55" s="953"/>
      <c r="K55" s="950">
        <f>'XM.FILE GOC'!AG54</f>
        <v>0</v>
      </c>
      <c r="L55" s="954"/>
      <c r="M55" s="907"/>
      <c r="N55" s="910" t="str">
        <f t="shared" si="3"/>
        <v/>
      </c>
      <c r="O55" s="935"/>
      <c r="P55" s="913"/>
      <c r="Q55" s="1731">
        <f>'XM.FILE GOC'!AK54</f>
        <v>2.35</v>
      </c>
      <c r="R55" s="953"/>
      <c r="S55" s="950">
        <f>'XM.FILE GOC'!AN54</f>
        <v>0</v>
      </c>
      <c r="T55" s="954"/>
      <c r="U55" s="907"/>
      <c r="V55" s="910" t="str">
        <f t="shared" si="4"/>
        <v/>
      </c>
      <c r="W55" s="935"/>
      <c r="X55" s="913"/>
      <c r="Y55" s="594">
        <f>'XM.FILE GOC'!AR54</f>
        <v>2.4</v>
      </c>
      <c r="Z55" s="58"/>
      <c r="AA55" s="586">
        <f>'XM.FILE GOC'!AU54</f>
        <v>0</v>
      </c>
      <c r="AB55" s="587"/>
      <c r="AC55" s="907"/>
      <c r="AD55" s="910" t="str">
        <f t="shared" si="5"/>
        <v/>
      </c>
      <c r="AE55" s="935"/>
      <c r="AF55" s="913"/>
      <c r="AG55" s="20"/>
    </row>
    <row r="56" spans="1:33" ht="51.75" customHeight="1">
      <c r="A56" s="46">
        <v>8</v>
      </c>
      <c r="B56" s="3134" t="s">
        <v>57</v>
      </c>
      <c r="C56" s="3135"/>
      <c r="D56" s="3135"/>
      <c r="E56" s="3136"/>
      <c r="F56" s="958" t="s">
        <v>6</v>
      </c>
      <c r="G56" s="897" t="str">
        <f>'XM.FILE GOC'!$E$55</f>
        <v xml:space="preserve">40~50 </v>
      </c>
      <c r="H56" s="2202" t="str">
        <f>'XM.FILE GOC'!$F$55</f>
        <v>(45±5)</v>
      </c>
      <c r="I56" s="1736">
        <f>'XM.FILE GOC'!AD55</f>
        <v>0.45624999999999999</v>
      </c>
      <c r="J56" s="58" t="s">
        <v>8</v>
      </c>
      <c r="K56" s="586">
        <f>'XM.FILE GOC'!AG55</f>
        <v>0</v>
      </c>
      <c r="L56" s="587" t="s">
        <v>10</v>
      </c>
      <c r="M56" s="914"/>
      <c r="N56" s="910" t="str">
        <f t="shared" si="3"/>
        <v/>
      </c>
      <c r="O56" s="933" t="str">
        <f>IF(M56="","",('XM.FILE GOC'!$G$55-M56)*2122)</f>
        <v/>
      </c>
      <c r="P56" s="2895" t="str">
        <f>IF(O56="","","L")</f>
        <v/>
      </c>
      <c r="Q56" s="1736">
        <f>'XM.FILE GOC'!AK55</f>
        <v>0.44484374999999998</v>
      </c>
      <c r="R56" s="58" t="s">
        <v>8</v>
      </c>
      <c r="S56" s="586">
        <f>'XM.FILE GOC'!AN55</f>
        <v>10.941562500000062</v>
      </c>
      <c r="T56" s="587" t="s">
        <v>10</v>
      </c>
      <c r="U56" s="914">
        <v>0.45600000000000002</v>
      </c>
      <c r="V56" s="910" t="str">
        <f t="shared" si="4"/>
        <v>+</v>
      </c>
      <c r="W56" s="933">
        <f>IF(U56="","",('XM.FILE GOC'!$G$55-U56)*2122)</f>
        <v>-12.732000000000012</v>
      </c>
      <c r="X56" s="2895" t="str">
        <f>IF(W56="","","L")</f>
        <v>L</v>
      </c>
      <c r="Y56" s="299">
        <f>'XM.FILE GOC'!AR55</f>
        <v>0.46765624999999994</v>
      </c>
      <c r="Z56" s="58" t="s">
        <v>8</v>
      </c>
      <c r="AA56" s="586">
        <f>'XM.FILE GOC'!AU55</f>
        <v>0</v>
      </c>
      <c r="AB56" s="587" t="s">
        <v>10</v>
      </c>
      <c r="AC56" s="914"/>
      <c r="AD56" s="910" t="str">
        <f t="shared" si="5"/>
        <v/>
      </c>
      <c r="AE56" s="933" t="str">
        <f>IF(AC56="","",('XM.FILE GOC'!$G$55-AC56)*2122)</f>
        <v/>
      </c>
      <c r="AF56" s="2895" t="str">
        <f>IF(AE56="","","L")</f>
        <v/>
      </c>
      <c r="AG56" s="71" t="s">
        <v>15</v>
      </c>
    </row>
    <row r="57" spans="1:33" ht="51.75" hidden="1" customHeight="1">
      <c r="A57" s="46">
        <v>9</v>
      </c>
      <c r="B57" s="3134" t="s">
        <v>58</v>
      </c>
      <c r="C57" s="3135"/>
      <c r="D57" s="3135"/>
      <c r="E57" s="3136"/>
      <c r="F57" s="958" t="s">
        <v>6</v>
      </c>
      <c r="G57" s="897" t="str">
        <f>'XM.FILE GOC'!$E$56</f>
        <v>(22±5) =17~27</v>
      </c>
      <c r="H57" s="2202" t="str">
        <f>'XM.FILE GOC'!$F$56</f>
        <v>(22±5)</v>
      </c>
      <c r="I57" s="1736">
        <f>'XM.FILE GOC'!AD56</f>
        <v>0</v>
      </c>
      <c r="J57" s="58" t="s">
        <v>8</v>
      </c>
      <c r="K57" s="586">
        <f>'XM.FILE GOC'!AG56</f>
        <v>134.64000000000001</v>
      </c>
      <c r="L57" s="587" t="s">
        <v>10</v>
      </c>
      <c r="M57" s="914"/>
      <c r="N57" s="910" t="str">
        <f t="shared" si="3"/>
        <v/>
      </c>
      <c r="O57" s="933">
        <f>('XM.FILE GOC'!$G$56-M57)*612</f>
        <v>134.64000000000001</v>
      </c>
      <c r="P57" s="909" t="s">
        <v>10</v>
      </c>
      <c r="Q57" s="1736">
        <f>'XM.FILE GOC'!AK56</f>
        <v>0</v>
      </c>
      <c r="R57" s="58" t="s">
        <v>8</v>
      </c>
      <c r="S57" s="586">
        <f>'XM.FILE GOC'!AN56</f>
        <v>134.64000000000001</v>
      </c>
      <c r="T57" s="587" t="s">
        <v>10</v>
      </c>
      <c r="U57" s="914"/>
      <c r="V57" s="910" t="str">
        <f t="shared" si="4"/>
        <v/>
      </c>
      <c r="W57" s="933">
        <f>('XM.FILE GOC'!$G$56-U57)*612</f>
        <v>134.64000000000001</v>
      </c>
      <c r="X57" s="909" t="s">
        <v>10</v>
      </c>
      <c r="Y57" s="299">
        <f>'XM.FILE GOC'!AR56</f>
        <v>0</v>
      </c>
      <c r="Z57" s="58" t="s">
        <v>8</v>
      </c>
      <c r="AA57" s="586">
        <f>'XM.FILE GOC'!AU56</f>
        <v>134.64000000000001</v>
      </c>
      <c r="AB57" s="587" t="s">
        <v>10</v>
      </c>
      <c r="AC57" s="914"/>
      <c r="AD57" s="910" t="str">
        <f t="shared" si="5"/>
        <v/>
      </c>
      <c r="AE57" s="933">
        <f>('XM.FILE GOC'!$G$56-AC57)*612</f>
        <v>134.64000000000001</v>
      </c>
      <c r="AF57" s="909" t="s">
        <v>10</v>
      </c>
      <c r="AG57" s="71" t="s">
        <v>15</v>
      </c>
    </row>
    <row r="58" spans="1:33" ht="51.75" hidden="1" customHeight="1">
      <c r="A58" s="46">
        <v>11</v>
      </c>
      <c r="B58" s="3134" t="s">
        <v>107</v>
      </c>
      <c r="C58" s="3135"/>
      <c r="D58" s="3135"/>
      <c r="E58" s="3136"/>
      <c r="F58" s="958" t="s">
        <v>6</v>
      </c>
      <c r="G58" s="897" t="str">
        <f>'XM.FILE GOC'!$E$57</f>
        <v>5~15</v>
      </c>
      <c r="H58" s="2202" t="str">
        <f>'XM.FILE GOC'!$F$57</f>
        <v>(10±3)</v>
      </c>
      <c r="I58" s="1736">
        <f>'XM.FILE GOC'!AD57</f>
        <v>6.8437499999999998E-2</v>
      </c>
      <c r="J58" s="949" t="s">
        <v>8</v>
      </c>
      <c r="K58" s="950">
        <f>'XM.FILE GOC'!AG57</f>
        <v>18.148437500000004</v>
      </c>
      <c r="L58" s="951" t="s">
        <v>10</v>
      </c>
      <c r="M58" s="914"/>
      <c r="N58" s="910" t="str">
        <f t="shared" si="3"/>
        <v/>
      </c>
      <c r="O58" s="933">
        <f>('XM.FILE GOC'!$G$57-M58)*575</f>
        <v>57.5</v>
      </c>
      <c r="P58" s="909" t="s">
        <v>10</v>
      </c>
      <c r="Q58" s="1736">
        <f>'XM.FILE GOC'!AK57</f>
        <v>0.1140625</v>
      </c>
      <c r="R58" s="949" t="s">
        <v>8</v>
      </c>
      <c r="S58" s="950">
        <f>'XM.FILE GOC'!AN57</f>
        <v>0</v>
      </c>
      <c r="T58" s="951" t="s">
        <v>10</v>
      </c>
      <c r="U58" s="914"/>
      <c r="V58" s="910" t="str">
        <f t="shared" si="4"/>
        <v/>
      </c>
      <c r="W58" s="933">
        <f>('XM.FILE GOC'!$G$57-U58)*575</f>
        <v>57.5</v>
      </c>
      <c r="X58" s="909" t="s">
        <v>10</v>
      </c>
      <c r="Y58" s="299">
        <f>'XM.FILE GOC'!AR57</f>
        <v>0.10265625</v>
      </c>
      <c r="Z58" s="58" t="s">
        <v>8</v>
      </c>
      <c r="AA58" s="586">
        <f>'XM.FILE GOC'!AU57</f>
        <v>0</v>
      </c>
      <c r="AB58" s="587" t="s">
        <v>10</v>
      </c>
      <c r="AC58" s="914"/>
      <c r="AD58" s="910" t="str">
        <f t="shared" si="5"/>
        <v/>
      </c>
      <c r="AE58" s="933">
        <f>('XM.FILE GOC'!$G$57-AC58)*575</f>
        <v>57.5</v>
      </c>
      <c r="AF58" s="909" t="s">
        <v>10</v>
      </c>
      <c r="AG58" s="71" t="s">
        <v>16</v>
      </c>
    </row>
    <row r="59" spans="1:33" ht="51.75" customHeight="1">
      <c r="A59" s="46">
        <v>9</v>
      </c>
      <c r="B59" s="3134" t="s">
        <v>937</v>
      </c>
      <c r="C59" s="3135"/>
      <c r="D59" s="3135"/>
      <c r="E59" s="3136"/>
      <c r="F59" s="958" t="s">
        <v>3</v>
      </c>
      <c r="G59" s="897" t="str">
        <f>'XM.FILE GOC'!$E$58</f>
        <v>0.5~1.5</v>
      </c>
      <c r="H59" s="2202" t="str">
        <f>'XM.FILE GOC'!$F$58</f>
        <v>(1±0.4)</v>
      </c>
      <c r="I59" s="1767">
        <f>'XM.FILE GOC'!AD58</f>
        <v>1.0709999999999999E-2</v>
      </c>
      <c r="J59" s="58" t="s">
        <v>8</v>
      </c>
      <c r="K59" s="952">
        <f>'XM.FILE GOC'!AG58</f>
        <v>0</v>
      </c>
      <c r="L59" s="587" t="s">
        <v>10</v>
      </c>
      <c r="M59" s="1572"/>
      <c r="N59" s="910" t="str">
        <f t="shared" si="3"/>
        <v/>
      </c>
      <c r="O59" s="933" t="str">
        <f>IF(M59="","",('XM.FILE GOC'!$G$58-M59)*530/65%)</f>
        <v/>
      </c>
      <c r="P59" s="2895" t="str">
        <f>IF(O59="","","L")</f>
        <v/>
      </c>
      <c r="Q59" s="1767">
        <f>'XM.FILE GOC'!AK58</f>
        <v>1.26E-2</v>
      </c>
      <c r="R59" s="58" t="s">
        <v>8</v>
      </c>
      <c r="S59" s="952">
        <f>'XM.FILE GOC'!AN58</f>
        <v>0</v>
      </c>
      <c r="T59" s="587" t="s">
        <v>10</v>
      </c>
      <c r="U59" s="1572"/>
      <c r="V59" s="910" t="str">
        <f t="shared" si="4"/>
        <v/>
      </c>
      <c r="W59" s="933" t="str">
        <f>IF(U59="","",('XM.FILE GOC'!$G$58-U59)*530/65%)</f>
        <v/>
      </c>
      <c r="X59" s="2895" t="str">
        <f>IF(W59="","","L")</f>
        <v/>
      </c>
      <c r="Y59" s="2170">
        <f>'XM.FILE GOC'!AR58</f>
        <v>1.008E-2</v>
      </c>
      <c r="Z59" s="58" t="s">
        <v>8</v>
      </c>
      <c r="AA59" s="952">
        <f>'XM.FILE GOC'!AU58</f>
        <v>0</v>
      </c>
      <c r="AB59" s="587" t="s">
        <v>10</v>
      </c>
      <c r="AC59" s="1572"/>
      <c r="AD59" s="910" t="str">
        <f t="shared" si="5"/>
        <v/>
      </c>
      <c r="AE59" s="933" t="str">
        <f>IF(AC59="","",('XM.FILE GOC'!$G$58-AC59)*530/65%)</f>
        <v/>
      </c>
      <c r="AF59" s="2895" t="str">
        <f>IF(AE59="","","L")</f>
        <v/>
      </c>
      <c r="AG59" s="71" t="s">
        <v>16</v>
      </c>
    </row>
    <row r="60" spans="1:33" ht="51.75" customHeight="1">
      <c r="A60" s="3206">
        <v>10</v>
      </c>
      <c r="B60" s="3143" t="s">
        <v>233</v>
      </c>
      <c r="C60" s="3144"/>
      <c r="D60" s="3144"/>
      <c r="E60" s="3145"/>
      <c r="F60" s="2164" t="s">
        <v>3</v>
      </c>
      <c r="G60" s="1005" t="str">
        <f>'XM.GUI MAIL'!$E$59</f>
        <v>5~8</v>
      </c>
      <c r="H60" s="2206" t="str">
        <f>'XM.GUI MAIL'!$F$59</f>
        <v>(6±0.5)</v>
      </c>
      <c r="I60" s="1833">
        <f>'XM.FILE GOC'!AD59</f>
        <v>6.5</v>
      </c>
      <c r="J60" s="58" t="s">
        <v>8</v>
      </c>
      <c r="K60" s="952">
        <f>'XM.FILE GOC'!L98</f>
        <v>0</v>
      </c>
      <c r="L60" s="587" t="s">
        <v>10</v>
      </c>
      <c r="M60" s="2236"/>
      <c r="N60" s="910" t="str">
        <f t="shared" si="3"/>
        <v/>
      </c>
      <c r="O60" s="1587" t="str">
        <f>IF(M60="","",('XM.FILE GOC'!$G$59-M60)*575/95*0.765)</f>
        <v/>
      </c>
      <c r="P60" s="2895" t="str">
        <f>IF(O60="","","L")</f>
        <v/>
      </c>
      <c r="Q60" s="1833" t="str">
        <f>'XM.FILE GOC'!AK59</f>
        <v xml:space="preserve">ko sx </v>
      </c>
      <c r="R60" s="58" t="s">
        <v>8</v>
      </c>
      <c r="S60" s="952">
        <f>'XM.FILE GOC'!S98</f>
        <v>0</v>
      </c>
      <c r="T60" s="587" t="s">
        <v>10</v>
      </c>
      <c r="U60" s="2236"/>
      <c r="V60" s="910" t="str">
        <f t="shared" si="4"/>
        <v/>
      </c>
      <c r="W60" s="1587" t="str">
        <f>IF(U60="","",('XM.FILE GOC'!$G$59-U60)*575/95*0.765)</f>
        <v/>
      </c>
      <c r="X60" s="2895" t="str">
        <f>IF(W60="","","L")</f>
        <v/>
      </c>
      <c r="Y60" s="1833" t="str">
        <f>'XM.FILE GOC'!AR59</f>
        <v xml:space="preserve">ko sx </v>
      </c>
      <c r="Z60" s="58" t="s">
        <v>8</v>
      </c>
      <c r="AA60" s="952">
        <f>'XM.FILE GOC'!Z98</f>
        <v>0</v>
      </c>
      <c r="AB60" s="587" t="s">
        <v>10</v>
      </c>
      <c r="AC60" s="2236"/>
      <c r="AD60" s="910" t="str">
        <f t="shared" si="5"/>
        <v/>
      </c>
      <c r="AE60" s="1587" t="str">
        <f>IF(AC60="","",('XM.FILE GOC'!$G$59-AC60)*575/95*0.765)</f>
        <v/>
      </c>
      <c r="AF60" s="2895" t="str">
        <f>IF(AE60="","","L")</f>
        <v/>
      </c>
      <c r="AG60" s="270"/>
    </row>
    <row r="61" spans="1:33" ht="51.75" customHeight="1">
      <c r="A61" s="3221"/>
      <c r="B61" s="3146"/>
      <c r="C61" s="3147"/>
      <c r="D61" s="3147"/>
      <c r="E61" s="3148"/>
      <c r="F61" s="2164" t="s">
        <v>5</v>
      </c>
      <c r="G61" s="1005" t="str">
        <f>'XM.GUI MAIL'!$E$60</f>
        <v>1.8~2.4</v>
      </c>
      <c r="H61" s="2206" t="str">
        <f>'XM.GUI MAIL'!$F$60</f>
        <v>(2.1±0.1 )</v>
      </c>
      <c r="I61" s="2176">
        <f>'XM.FILE GOC'!AD60</f>
        <v>2</v>
      </c>
      <c r="J61" s="58"/>
      <c r="K61" s="952"/>
      <c r="L61" s="587"/>
      <c r="M61" s="914"/>
      <c r="N61" s="908"/>
      <c r="O61" s="933"/>
      <c r="P61" s="909"/>
      <c r="Q61" s="1761" t="str">
        <f>'XM.FILE GOC'!AK60</f>
        <v xml:space="preserve">ko sx </v>
      </c>
      <c r="R61" s="58"/>
      <c r="S61" s="952"/>
      <c r="T61" s="587"/>
      <c r="U61" s="914"/>
      <c r="V61" s="908"/>
      <c r="W61" s="933"/>
      <c r="X61" s="909"/>
      <c r="Y61" s="1761" t="str">
        <f>'XM.FILE GOC'!AR60</f>
        <v xml:space="preserve">ko sx </v>
      </c>
      <c r="Z61" s="58"/>
      <c r="AA61" s="952"/>
      <c r="AB61" s="587"/>
      <c r="AC61" s="914"/>
      <c r="AD61" s="908"/>
      <c r="AE61" s="933"/>
      <c r="AF61" s="909"/>
      <c r="AG61" s="270"/>
    </row>
    <row r="62" spans="1:33" ht="51.75" customHeight="1">
      <c r="A62" s="46"/>
      <c r="B62" s="2415" t="s">
        <v>108</v>
      </c>
      <c r="C62" s="2416"/>
      <c r="D62" s="2416"/>
      <c r="E62" s="2416"/>
      <c r="F62" s="2416"/>
      <c r="G62" s="2416"/>
      <c r="H62" s="2416"/>
      <c r="I62" s="2416"/>
      <c r="J62" s="2416"/>
      <c r="K62" s="2416"/>
      <c r="L62" s="2416"/>
      <c r="M62" s="2416"/>
      <c r="N62" s="2416"/>
      <c r="O62" s="2416"/>
      <c r="P62" s="2416"/>
      <c r="Q62" s="2416"/>
      <c r="R62" s="2416"/>
      <c r="S62" s="2416"/>
      <c r="T62" s="2416"/>
      <c r="U62" s="2416"/>
      <c r="V62" s="2416"/>
      <c r="W62" s="2416"/>
      <c r="X62" s="2416"/>
      <c r="Y62" s="2416"/>
      <c r="Z62" s="2416"/>
      <c r="AA62" s="2416"/>
      <c r="AB62" s="2416"/>
      <c r="AC62" s="2416"/>
      <c r="AD62" s="2416"/>
      <c r="AE62" s="2416"/>
      <c r="AF62" s="2416"/>
      <c r="AG62" s="2417"/>
    </row>
    <row r="63" spans="1:33" ht="51.75" customHeight="1">
      <c r="A63" s="958" t="s">
        <v>7</v>
      </c>
      <c r="B63" s="3134" t="s">
        <v>60</v>
      </c>
      <c r="C63" s="3135"/>
      <c r="D63" s="3135"/>
      <c r="E63" s="3136"/>
      <c r="F63" s="247" t="s">
        <v>62</v>
      </c>
      <c r="G63" s="975" t="s">
        <v>1296</v>
      </c>
      <c r="H63" s="2204" t="s">
        <v>1289</v>
      </c>
      <c r="I63" s="3202" t="s">
        <v>45</v>
      </c>
      <c r="J63" s="3203"/>
      <c r="K63" s="3202" t="s">
        <v>61</v>
      </c>
      <c r="L63" s="3214"/>
      <c r="M63" s="917"/>
      <c r="N63" s="918"/>
      <c r="O63" s="918"/>
      <c r="P63" s="919"/>
      <c r="Q63" s="3214" t="s">
        <v>45</v>
      </c>
      <c r="R63" s="3203"/>
      <c r="S63" s="3202" t="s">
        <v>61</v>
      </c>
      <c r="T63" s="3203"/>
      <c r="U63" s="917"/>
      <c r="V63" s="918"/>
      <c r="W63" s="918"/>
      <c r="X63" s="919"/>
      <c r="Y63" s="3202" t="s">
        <v>45</v>
      </c>
      <c r="Z63" s="3203"/>
      <c r="AA63" s="3202" t="s">
        <v>61</v>
      </c>
      <c r="AB63" s="3203"/>
      <c r="AC63" s="917"/>
      <c r="AD63" s="918"/>
      <c r="AE63" s="918"/>
      <c r="AF63" s="919"/>
      <c r="AG63" s="72"/>
    </row>
    <row r="64" spans="1:33" ht="51.75" customHeight="1">
      <c r="A64" s="958">
        <v>1</v>
      </c>
      <c r="B64" s="3134" t="s">
        <v>64</v>
      </c>
      <c r="C64" s="3135"/>
      <c r="D64" s="3135"/>
      <c r="E64" s="3136"/>
      <c r="F64" s="246" t="s">
        <v>194</v>
      </c>
      <c r="G64" s="897" t="str">
        <f>'XM.FILE GOC'!$E$63</f>
        <v>50~70</v>
      </c>
      <c r="H64" s="2202" t="str">
        <f>'XM.FILE GOC'!$F$63</f>
        <v>(60±5)</v>
      </c>
      <c r="I64" s="3121">
        <v>57</v>
      </c>
      <c r="J64" s="3121"/>
      <c r="K64" s="3121">
        <v>56</v>
      </c>
      <c r="L64" s="3218"/>
      <c r="M64" s="920"/>
      <c r="N64" s="921"/>
      <c r="O64" s="921"/>
      <c r="P64" s="922"/>
      <c r="Q64" s="3195">
        <v>57</v>
      </c>
      <c r="R64" s="3121"/>
      <c r="S64" s="3121">
        <v>56</v>
      </c>
      <c r="T64" s="3121"/>
      <c r="U64" s="920"/>
      <c r="V64" s="921"/>
      <c r="W64" s="921"/>
      <c r="X64" s="922"/>
      <c r="Y64" s="3121">
        <v>57</v>
      </c>
      <c r="Z64" s="3121"/>
      <c r="AA64" s="3121">
        <v>56</v>
      </c>
      <c r="AB64" s="3121"/>
      <c r="AC64" s="920"/>
      <c r="AD64" s="921"/>
      <c r="AE64" s="921"/>
      <c r="AF64" s="922"/>
      <c r="AG64" s="20"/>
    </row>
    <row r="65" spans="1:33" ht="51.75" customHeight="1">
      <c r="A65" s="958">
        <v>2</v>
      </c>
      <c r="B65" s="3134" t="s">
        <v>65</v>
      </c>
      <c r="C65" s="3135" t="s">
        <v>65</v>
      </c>
      <c r="D65" s="3135" t="s">
        <v>65</v>
      </c>
      <c r="E65" s="3136" t="s">
        <v>65</v>
      </c>
      <c r="F65" s="246" t="s">
        <v>194</v>
      </c>
      <c r="G65" s="897" t="str">
        <f>'XM.FILE GOC'!$E$64</f>
        <v>50~70</v>
      </c>
      <c r="H65" s="2202" t="str">
        <f>'XM.FILE GOC'!$F$64</f>
        <v>(60±5)</v>
      </c>
      <c r="I65" s="3121">
        <f>'XM.GUI MAIL'!AD64</f>
        <v>59</v>
      </c>
      <c r="J65" s="3121"/>
      <c r="K65" s="3121">
        <f>'XM.FILE GOC'!AG64</f>
        <v>58</v>
      </c>
      <c r="L65" s="3218"/>
      <c r="M65" s="920"/>
      <c r="N65" s="921"/>
      <c r="O65" s="921"/>
      <c r="P65" s="922"/>
      <c r="Q65" s="3195">
        <f>'XM.GUI MAIL'!AK64</f>
        <v>59</v>
      </c>
      <c r="R65" s="3121"/>
      <c r="S65" s="3121">
        <f>'XM.FILE GOC'!AN64</f>
        <v>58</v>
      </c>
      <c r="T65" s="3121"/>
      <c r="U65" s="920"/>
      <c r="V65" s="921"/>
      <c r="W65" s="921"/>
      <c r="X65" s="922"/>
      <c r="Y65" s="3121">
        <f>'XM.GUI MAIL'!AR64</f>
        <v>58</v>
      </c>
      <c r="Z65" s="3121"/>
      <c r="AA65" s="3121">
        <f>'XM.FILE GOC'!AU64</f>
        <v>57</v>
      </c>
      <c r="AB65" s="3121"/>
      <c r="AC65" s="920"/>
      <c r="AD65" s="921"/>
      <c r="AE65" s="921"/>
      <c r="AF65" s="922"/>
      <c r="AG65" s="20"/>
    </row>
    <row r="66" spans="1:33" ht="51.75" customHeight="1">
      <c r="A66" s="958">
        <v>3</v>
      </c>
      <c r="B66" s="3134" t="s">
        <v>67</v>
      </c>
      <c r="C66" s="3135" t="s">
        <v>67</v>
      </c>
      <c r="D66" s="3135" t="s">
        <v>67</v>
      </c>
      <c r="E66" s="3136" t="s">
        <v>67</v>
      </c>
      <c r="F66" s="246" t="s">
        <v>194</v>
      </c>
      <c r="G66" s="897" t="str">
        <f>'XM.FILE GOC'!$E$65</f>
        <v>40~60</v>
      </c>
      <c r="H66" s="2202" t="str">
        <f>'XM.FILE GOC'!$F$65</f>
        <v>(50±5)</v>
      </c>
      <c r="I66" s="3095">
        <f>'XM.GUI MAIL'!AD65</f>
        <v>53</v>
      </c>
      <c r="J66" s="3086"/>
      <c r="K66" s="3095">
        <f>'XM.FILE GOC'!AG65</f>
        <v>52</v>
      </c>
      <c r="L66" s="3086"/>
      <c r="M66" s="920"/>
      <c r="N66" s="921"/>
      <c r="O66" s="921"/>
      <c r="P66" s="922"/>
      <c r="Q66" s="3095">
        <f>'XM.GUI MAIL'!AK65</f>
        <v>52</v>
      </c>
      <c r="R66" s="3086"/>
      <c r="S66" s="3095">
        <f>'XM.FILE GOC'!AN65</f>
        <v>51</v>
      </c>
      <c r="T66" s="3086"/>
      <c r="U66" s="920"/>
      <c r="V66" s="921"/>
      <c r="W66" s="921"/>
      <c r="X66" s="922"/>
      <c r="Y66" s="3095">
        <f>'XM.GUI MAIL'!AR65</f>
        <v>53</v>
      </c>
      <c r="Z66" s="3086"/>
      <c r="AA66" s="3095">
        <f>'XM.FILE GOC'!AU65</f>
        <v>52</v>
      </c>
      <c r="AB66" s="3086"/>
      <c r="AC66" s="920"/>
      <c r="AD66" s="921"/>
      <c r="AE66" s="921"/>
      <c r="AF66" s="922"/>
      <c r="AG66" s="20"/>
    </row>
    <row r="67" spans="1:33" ht="51.75" customHeight="1">
      <c r="A67" s="958">
        <v>4</v>
      </c>
      <c r="B67" s="3134" t="s">
        <v>66</v>
      </c>
      <c r="C67" s="3135" t="s">
        <v>66</v>
      </c>
      <c r="D67" s="3135" t="s">
        <v>66</v>
      </c>
      <c r="E67" s="3136" t="s">
        <v>66</v>
      </c>
      <c r="F67" s="246" t="s">
        <v>194</v>
      </c>
      <c r="G67" s="897" t="str">
        <f>'XM.FILE GOC'!$E$66</f>
        <v>40~60</v>
      </c>
      <c r="H67" s="2202" t="str">
        <f>'XM.FILE GOC'!$F$66</f>
        <v>(50±5)</v>
      </c>
      <c r="I67" s="3095">
        <f>'XM.GUI MAIL'!AD66</f>
        <v>49</v>
      </c>
      <c r="J67" s="3086"/>
      <c r="K67" s="3095">
        <f>'XM.FILE GOC'!AG66</f>
        <v>48</v>
      </c>
      <c r="L67" s="3086"/>
      <c r="M67" s="920"/>
      <c r="N67" s="921"/>
      <c r="O67" s="921"/>
      <c r="P67" s="922"/>
      <c r="Q67" s="3095">
        <f>'XM.GUI MAIL'!AK66</f>
        <v>51</v>
      </c>
      <c r="R67" s="3086"/>
      <c r="S67" s="3095">
        <f>'XM.FILE GOC'!AN66</f>
        <v>50</v>
      </c>
      <c r="T67" s="3086"/>
      <c r="U67" s="920"/>
      <c r="V67" s="921"/>
      <c r="W67" s="921"/>
      <c r="X67" s="922"/>
      <c r="Y67" s="3095">
        <f>'XM.GUI MAIL'!AR66</f>
        <v>49</v>
      </c>
      <c r="Z67" s="3086"/>
      <c r="AA67" s="3095">
        <f>'XM.FILE GOC'!AU66</f>
        <v>48</v>
      </c>
      <c r="AB67" s="3086"/>
      <c r="AC67" s="920"/>
      <c r="AD67" s="921"/>
      <c r="AE67" s="921"/>
      <c r="AF67" s="922"/>
      <c r="AG67" s="20"/>
    </row>
    <row r="68" spans="1:33" ht="51.75" customHeight="1">
      <c r="A68" s="958">
        <v>5</v>
      </c>
      <c r="B68" s="3134" t="s">
        <v>68</v>
      </c>
      <c r="C68" s="3135" t="s">
        <v>68</v>
      </c>
      <c r="D68" s="3135" t="s">
        <v>68</v>
      </c>
      <c r="E68" s="3136" t="s">
        <v>68</v>
      </c>
      <c r="F68" s="246" t="s">
        <v>194</v>
      </c>
      <c r="G68" s="897" t="str">
        <f>'XM.FILE GOC'!$E$67</f>
        <v>20~35</v>
      </c>
      <c r="H68" s="2202" t="str">
        <f>'XM.FILE GOC'!$F$67</f>
        <v>(30±4)</v>
      </c>
      <c r="I68" s="3121">
        <f>'XM.GUI MAIL'!AD67</f>
        <v>30</v>
      </c>
      <c r="J68" s="3121"/>
      <c r="K68" s="3121">
        <f>'XM.FILE GOC'!AG67</f>
        <v>29</v>
      </c>
      <c r="L68" s="3218"/>
      <c r="M68" s="920"/>
      <c r="N68" s="921"/>
      <c r="O68" s="921"/>
      <c r="P68" s="922"/>
      <c r="Q68" s="3195">
        <f>'XM.GUI MAIL'!AK67</f>
        <v>30</v>
      </c>
      <c r="R68" s="3121"/>
      <c r="S68" s="3121">
        <f>'XM.FILE GOC'!AN67</f>
        <v>29</v>
      </c>
      <c r="T68" s="3121"/>
      <c r="U68" s="920"/>
      <c r="V68" s="921"/>
      <c r="W68" s="921"/>
      <c r="X68" s="922"/>
      <c r="Y68" s="3121">
        <f>'XM.GUI MAIL'!AR67</f>
        <v>29</v>
      </c>
      <c r="Z68" s="3121"/>
      <c r="AA68" s="3121">
        <f>'XM.FILE GOC'!AU67</f>
        <v>29</v>
      </c>
      <c r="AB68" s="3121"/>
      <c r="AC68" s="920"/>
      <c r="AD68" s="921"/>
      <c r="AE68" s="921"/>
      <c r="AF68" s="922"/>
      <c r="AG68" s="20"/>
    </row>
    <row r="69" spans="1:33" ht="51.75" customHeight="1">
      <c r="A69" s="958">
        <v>6</v>
      </c>
      <c r="B69" s="3134" t="s">
        <v>938</v>
      </c>
      <c r="C69" s="3135" t="s">
        <v>938</v>
      </c>
      <c r="D69" s="3135" t="s">
        <v>938</v>
      </c>
      <c r="E69" s="3136" t="s">
        <v>938</v>
      </c>
      <c r="F69" s="246" t="s">
        <v>194</v>
      </c>
      <c r="G69" s="897" t="str">
        <f>'XM.FILE GOC'!$E$68</f>
        <v>30-38</v>
      </c>
      <c r="H69" s="2202" t="str">
        <f>'XM.FILE GOC'!$F$68</f>
        <v>(34±2)</v>
      </c>
      <c r="I69" s="3121">
        <v>35</v>
      </c>
      <c r="J69" s="3121"/>
      <c r="K69" s="3121">
        <v>34</v>
      </c>
      <c r="L69" s="3218"/>
      <c r="M69" s="920"/>
      <c r="N69" s="921"/>
      <c r="O69" s="921"/>
      <c r="P69" s="922"/>
      <c r="Q69" s="3195">
        <v>35</v>
      </c>
      <c r="R69" s="3121"/>
      <c r="S69" s="3121">
        <v>34</v>
      </c>
      <c r="T69" s="3121"/>
      <c r="U69" s="920"/>
      <c r="V69" s="921"/>
      <c r="W69" s="921"/>
      <c r="X69" s="922"/>
      <c r="Y69" s="3121">
        <v>36</v>
      </c>
      <c r="Z69" s="3121"/>
      <c r="AA69" s="3121">
        <v>35</v>
      </c>
      <c r="AB69" s="3121"/>
      <c r="AC69" s="920"/>
      <c r="AD69" s="921"/>
      <c r="AE69" s="921"/>
      <c r="AF69" s="922"/>
      <c r="AG69" s="22"/>
    </row>
    <row r="70" spans="1:33" ht="51.75" customHeight="1">
      <c r="A70" s="958">
        <v>7</v>
      </c>
      <c r="B70" s="3134" t="s">
        <v>69</v>
      </c>
      <c r="C70" s="3135" t="s">
        <v>69</v>
      </c>
      <c r="D70" s="3135" t="s">
        <v>69</v>
      </c>
      <c r="E70" s="3136" t="s">
        <v>69</v>
      </c>
      <c r="F70" s="246" t="s">
        <v>194</v>
      </c>
      <c r="G70" s="897" t="str">
        <f>'XM.FILE GOC'!$E$69</f>
        <v>50~70</v>
      </c>
      <c r="H70" s="2202" t="str">
        <f>'XM.FILE GOC'!$F$69</f>
        <v>(60±10)</v>
      </c>
      <c r="I70" s="3121">
        <f>'XM.GUI MAIL'!AD69</f>
        <v>55</v>
      </c>
      <c r="J70" s="3121"/>
      <c r="K70" s="3121">
        <f>'XM.FILE GOC'!AG69</f>
        <v>54</v>
      </c>
      <c r="L70" s="3218"/>
      <c r="M70" s="920"/>
      <c r="N70" s="921"/>
      <c r="O70" s="921"/>
      <c r="P70" s="922"/>
      <c r="Q70" s="3195">
        <f>'XM.GUI MAIL'!AK69</f>
        <v>55</v>
      </c>
      <c r="R70" s="3121"/>
      <c r="S70" s="3121">
        <f>'XM.FILE GOC'!AN69</f>
        <v>54</v>
      </c>
      <c r="T70" s="3121"/>
      <c r="U70" s="920"/>
      <c r="V70" s="921"/>
      <c r="W70" s="921"/>
      <c r="X70" s="922"/>
      <c r="Y70" s="3121">
        <f>'XM.GUI MAIL'!AR69</f>
        <v>54</v>
      </c>
      <c r="Z70" s="3121"/>
      <c r="AA70" s="3218">
        <f>'XM.FILE GOC'!AU69</f>
        <v>53</v>
      </c>
      <c r="AB70" s="3195"/>
      <c r="AC70" s="920"/>
      <c r="AD70" s="921"/>
      <c r="AE70" s="921"/>
      <c r="AF70" s="922"/>
      <c r="AG70" s="20"/>
    </row>
    <row r="71" spans="1:33" ht="51.75" customHeight="1">
      <c r="A71" s="958">
        <v>8</v>
      </c>
      <c r="B71" s="3140" t="s">
        <v>70</v>
      </c>
      <c r="C71" s="3141" t="s">
        <v>70</v>
      </c>
      <c r="D71" s="3141" t="s">
        <v>70</v>
      </c>
      <c r="E71" s="3142" t="s">
        <v>70</v>
      </c>
      <c r="F71" s="246" t="s">
        <v>194</v>
      </c>
      <c r="G71" s="897" t="str">
        <f>'XM.FILE GOC'!$E$70</f>
        <v>80~100</v>
      </c>
      <c r="H71" s="2202" t="str">
        <f>'XM.FILE GOC'!$F$70</f>
        <v>(90±5)</v>
      </c>
      <c r="I71" s="3202" t="s">
        <v>46</v>
      </c>
      <c r="J71" s="3203"/>
      <c r="K71" s="3086">
        <f>'XM.FILE GOC'!AG70</f>
        <v>90</v>
      </c>
      <c r="L71" s="3097"/>
      <c r="M71" s="2178"/>
      <c r="N71" s="924"/>
      <c r="O71" s="924"/>
      <c r="P71" s="925"/>
      <c r="Q71" s="3214" t="s">
        <v>46</v>
      </c>
      <c r="R71" s="3203"/>
      <c r="S71" s="3086">
        <f>'XM.FILE GOC'!AN70</f>
        <v>86</v>
      </c>
      <c r="T71" s="3086"/>
      <c r="U71" s="2178"/>
      <c r="V71" s="924"/>
      <c r="W71" s="924"/>
      <c r="X71" s="925"/>
      <c r="Y71" s="3202" t="s">
        <v>46</v>
      </c>
      <c r="Z71" s="3203"/>
      <c r="AA71" s="3086">
        <f>'XM.FILE GOC'!AU70</f>
        <v>89</v>
      </c>
      <c r="AB71" s="3086"/>
      <c r="AC71" s="923"/>
      <c r="AD71" s="924"/>
      <c r="AE71" s="924"/>
      <c r="AF71" s="925"/>
      <c r="AG71" s="20"/>
    </row>
    <row r="72" spans="1:33" ht="51.75" customHeight="1">
      <c r="A72" s="46"/>
      <c r="B72" s="2415" t="s">
        <v>109</v>
      </c>
      <c r="C72" s="2416"/>
      <c r="D72" s="2416"/>
      <c r="E72" s="2416"/>
      <c r="F72" s="2416"/>
      <c r="G72" s="2416"/>
      <c r="H72" s="2416"/>
      <c r="I72" s="2416"/>
      <c r="J72" s="2416"/>
      <c r="K72" s="2416"/>
      <c r="L72" s="2416"/>
      <c r="M72" s="2416"/>
      <c r="N72" s="2416"/>
      <c r="O72" s="2416"/>
      <c r="P72" s="2416"/>
      <c r="Q72" s="2416"/>
      <c r="R72" s="2416"/>
      <c r="S72" s="2416"/>
      <c r="T72" s="2416"/>
      <c r="U72" s="2416"/>
      <c r="V72" s="2416"/>
      <c r="W72" s="2416"/>
      <c r="X72" s="2416"/>
      <c r="Y72" s="2416"/>
      <c r="Z72" s="2416"/>
      <c r="AA72" s="2416"/>
      <c r="AB72" s="2416"/>
      <c r="AC72" s="2416"/>
      <c r="AD72" s="2416"/>
      <c r="AE72" s="2416"/>
      <c r="AF72" s="2416"/>
      <c r="AG72" s="2417"/>
    </row>
    <row r="73" spans="1:33" ht="51.75" customHeight="1">
      <c r="A73" s="958" t="s">
        <v>7</v>
      </c>
      <c r="B73" s="3134" t="s">
        <v>91</v>
      </c>
      <c r="C73" s="3138"/>
      <c r="D73" s="3138"/>
      <c r="E73" s="3139"/>
      <c r="F73" s="577" t="s">
        <v>92</v>
      </c>
      <c r="G73" s="975" t="s">
        <v>1296</v>
      </c>
      <c r="H73" s="2204" t="s">
        <v>1289</v>
      </c>
      <c r="I73" s="3220" t="s">
        <v>110</v>
      </c>
      <c r="J73" s="3141"/>
      <c r="K73" s="3141"/>
      <c r="L73" s="3142"/>
      <c r="M73" s="917"/>
      <c r="N73" s="918"/>
      <c r="O73" s="918"/>
      <c r="P73" s="919"/>
      <c r="Q73" s="3140" t="s">
        <v>110</v>
      </c>
      <c r="R73" s="3141"/>
      <c r="S73" s="3141"/>
      <c r="T73" s="3142"/>
      <c r="U73" s="917"/>
      <c r="V73" s="918"/>
      <c r="W73" s="918"/>
      <c r="X73" s="919"/>
      <c r="Y73" s="3140" t="s">
        <v>110</v>
      </c>
      <c r="Z73" s="3141"/>
      <c r="AA73" s="3141"/>
      <c r="AB73" s="3142"/>
      <c r="AC73" s="917"/>
      <c r="AD73" s="918"/>
      <c r="AE73" s="918"/>
      <c r="AF73" s="919"/>
      <c r="AG73" s="72"/>
    </row>
    <row r="74" spans="1:33" ht="51.75" customHeight="1">
      <c r="A74" s="46">
        <v>1</v>
      </c>
      <c r="B74" s="3137" t="s">
        <v>1570</v>
      </c>
      <c r="C74" s="3138"/>
      <c r="D74" s="3138"/>
      <c r="E74" s="3139"/>
      <c r="F74" s="2856" t="s">
        <v>1641</v>
      </c>
      <c r="G74" s="897" t="str">
        <f>'XM.FILE GOC'!$E$72</f>
        <v>100-200</v>
      </c>
      <c r="H74" s="2202" t="str">
        <f>'XM.FILE GOC'!$F$72</f>
        <v>100-200</v>
      </c>
      <c r="I74" s="3219">
        <f>'XM.FILE GOC'!AD72</f>
        <v>160</v>
      </c>
      <c r="J74" s="3138"/>
      <c r="K74" s="3138"/>
      <c r="L74" s="3139"/>
      <c r="M74" s="926"/>
      <c r="N74" s="904"/>
      <c r="O74" s="904"/>
      <c r="P74" s="927"/>
      <c r="Q74" s="3193">
        <f>'XM.FILE GOC'!AK72</f>
        <v>165</v>
      </c>
      <c r="R74" s="3138"/>
      <c r="S74" s="3138"/>
      <c r="T74" s="3139"/>
      <c r="U74" s="926"/>
      <c r="V74" s="904"/>
      <c r="W74" s="904"/>
      <c r="X74" s="927"/>
      <c r="Y74" s="3193">
        <f>'XM.GUI MAIL'!AR72</f>
        <v>165</v>
      </c>
      <c r="Z74" s="3138"/>
      <c r="AA74" s="3138"/>
      <c r="AB74" s="3139"/>
      <c r="AC74" s="926"/>
      <c r="AD74" s="904"/>
      <c r="AE74" s="904"/>
      <c r="AF74" s="927"/>
      <c r="AG74" s="22"/>
    </row>
    <row r="75" spans="1:33" ht="51.75" customHeight="1">
      <c r="A75" s="46">
        <v>2</v>
      </c>
      <c r="B75" s="3137" t="s">
        <v>1568</v>
      </c>
      <c r="C75" s="3138"/>
      <c r="D75" s="3138"/>
      <c r="E75" s="3139"/>
      <c r="F75" s="2856" t="s">
        <v>1641</v>
      </c>
      <c r="G75" s="897" t="str">
        <f>'XM.FILE GOC'!$E$73</f>
        <v>20-50</v>
      </c>
      <c r="H75" s="2202" t="str">
        <f>'XM.FILE GOC'!$F$73</f>
        <v>20-50</v>
      </c>
      <c r="I75" s="3219">
        <f>'XM.GUI MAIL'!AD73</f>
        <v>24</v>
      </c>
      <c r="J75" s="3138"/>
      <c r="K75" s="3138"/>
      <c r="L75" s="3139"/>
      <c r="M75" s="928"/>
      <c r="N75" s="929"/>
      <c r="O75" s="929"/>
      <c r="P75" s="930"/>
      <c r="Q75" s="3193">
        <f>'XM.GUI MAIL'!AK73</f>
        <v>27</v>
      </c>
      <c r="R75" s="3138"/>
      <c r="S75" s="3138"/>
      <c r="T75" s="3139"/>
      <c r="U75" s="928"/>
      <c r="V75" s="929"/>
      <c r="W75" s="929"/>
      <c r="X75" s="930"/>
      <c r="Y75" s="3193">
        <f>'XM.GUI MAIL'!AR73</f>
        <v>29</v>
      </c>
      <c r="Z75" s="3138"/>
      <c r="AA75" s="3138"/>
      <c r="AB75" s="3139"/>
      <c r="AC75" s="928"/>
      <c r="AD75" s="929"/>
      <c r="AE75" s="929"/>
      <c r="AF75" s="930"/>
      <c r="AG75" s="22"/>
    </row>
  </sheetData>
  <sheetProtection formatCells="0" formatColumns="0" formatRows="0" insertColumns="0" insertRows="0" insertHyperlinks="0" deleteColumns="0" deleteRows="0" selectLockedCells="1" sort="0" autoFilter="0" pivotTables="0"/>
  <mergeCells count="252">
    <mergeCell ref="A22:A23"/>
    <mergeCell ref="A60:A61"/>
    <mergeCell ref="B71:E71"/>
    <mergeCell ref="I71:J71"/>
    <mergeCell ref="K71:L71"/>
    <mergeCell ref="Q71:R71"/>
    <mergeCell ref="S71:T71"/>
    <mergeCell ref="Y71:Z71"/>
    <mergeCell ref="AA71:AB71"/>
    <mergeCell ref="B70:E70"/>
    <mergeCell ref="I70:J70"/>
    <mergeCell ref="K70:L70"/>
    <mergeCell ref="Q70:R70"/>
    <mergeCell ref="S70:T70"/>
    <mergeCell ref="Y70:Z70"/>
    <mergeCell ref="AA70:AB70"/>
    <mergeCell ref="AA68:AB68"/>
    <mergeCell ref="B69:E69"/>
    <mergeCell ref="I69:J69"/>
    <mergeCell ref="K69:L69"/>
    <mergeCell ref="Q69:R69"/>
    <mergeCell ref="S69:T69"/>
    <mergeCell ref="Y69:Z69"/>
    <mergeCell ref="AA69:AB69"/>
    <mergeCell ref="B75:E75"/>
    <mergeCell ref="I75:L75"/>
    <mergeCell ref="Q75:T75"/>
    <mergeCell ref="Y75:AB75"/>
    <mergeCell ref="B73:E73"/>
    <mergeCell ref="I73:L73"/>
    <mergeCell ref="Q73:T73"/>
    <mergeCell ref="Y73:AB73"/>
    <mergeCell ref="B74:E74"/>
    <mergeCell ref="I74:L74"/>
    <mergeCell ref="Q74:T74"/>
    <mergeCell ref="Y74:AB74"/>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B37:E37"/>
    <mergeCell ref="I37:L37"/>
    <mergeCell ref="Q37:T37"/>
    <mergeCell ref="Y37:AB37"/>
    <mergeCell ref="B35:E35"/>
    <mergeCell ref="I35:L35"/>
    <mergeCell ref="Q35:T35"/>
    <mergeCell ref="Y35:AB35"/>
    <mergeCell ref="B36:E36"/>
    <mergeCell ref="I36:L36"/>
    <mergeCell ref="Q36:T36"/>
    <mergeCell ref="Y36:AB36"/>
    <mergeCell ref="B33:E33"/>
    <mergeCell ref="I33:J33"/>
    <mergeCell ref="K33:L33"/>
    <mergeCell ref="Q33:R33"/>
    <mergeCell ref="S33:T33"/>
    <mergeCell ref="Y33:Z33"/>
    <mergeCell ref="AA33:AB33"/>
    <mergeCell ref="B32:E32"/>
    <mergeCell ref="I32:J32"/>
    <mergeCell ref="K32:L32"/>
    <mergeCell ref="Q32:R32"/>
    <mergeCell ref="S32:T32"/>
    <mergeCell ref="Y32:Z32"/>
    <mergeCell ref="B31:E31"/>
    <mergeCell ref="I31:J31"/>
    <mergeCell ref="K31:L31"/>
    <mergeCell ref="Q31:R31"/>
    <mergeCell ref="S31:T31"/>
    <mergeCell ref="Y31:Z31"/>
    <mergeCell ref="AA31:AB31"/>
    <mergeCell ref="B30:E30"/>
    <mergeCell ref="I30:J30"/>
    <mergeCell ref="K30:L30"/>
    <mergeCell ref="Q30:R30"/>
    <mergeCell ref="S30:T30"/>
    <mergeCell ref="Y30:Z30"/>
    <mergeCell ref="B29:E29"/>
    <mergeCell ref="I29:J29"/>
    <mergeCell ref="K29:L29"/>
    <mergeCell ref="Q29:R29"/>
    <mergeCell ref="S29:T29"/>
    <mergeCell ref="Y29:Z29"/>
    <mergeCell ref="AA29:AB29"/>
    <mergeCell ref="B28:E28"/>
    <mergeCell ref="I28:J28"/>
    <mergeCell ref="K28:L28"/>
    <mergeCell ref="Q28:R28"/>
    <mergeCell ref="S28:T28"/>
    <mergeCell ref="Y28:Z28"/>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B25:E25"/>
    <mergeCell ref="I25:J25"/>
    <mergeCell ref="K25:L25"/>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A6:A7"/>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I3:L3"/>
    <mergeCell ref="J5:L5"/>
    <mergeCell ref="AD2:AE2"/>
    <mergeCell ref="AF2:AG2"/>
    <mergeCell ref="AD3:AE3"/>
    <mergeCell ref="AF3:AG3"/>
    <mergeCell ref="AD40:AE40"/>
    <mergeCell ref="AF40:AG40"/>
    <mergeCell ref="AD41:AE41"/>
    <mergeCell ref="AF41:AG41"/>
    <mergeCell ref="AG4:AG5"/>
    <mergeCell ref="Q25:R25"/>
    <mergeCell ref="S25:T25"/>
    <mergeCell ref="Y25:Z25"/>
    <mergeCell ref="AC4:AF4"/>
    <mergeCell ref="AD5:AF5"/>
    <mergeCell ref="M42:P42"/>
    <mergeCell ref="N43:P43"/>
    <mergeCell ref="U42:X42"/>
    <mergeCell ref="V43:X43"/>
    <mergeCell ref="AC42:AF42"/>
    <mergeCell ref="AD43:AF43"/>
    <mergeCell ref="R5:T5"/>
    <mergeCell ref="Z5:AB5"/>
    <mergeCell ref="AA25:AB25"/>
    <mergeCell ref="AA28:AB28"/>
    <mergeCell ref="AA30:AB30"/>
    <mergeCell ref="AA32:AB32"/>
  </mergeCells>
  <phoneticPr fontId="7" type="noConversion"/>
  <conditionalFormatting sqref="I74 Q74 Y74 I36 Q36 Y36">
    <cfRule type="expression" dxfId="3499" priority="1351">
      <formula>I36&lt;100</formula>
    </cfRule>
    <cfRule type="expression" dxfId="3498" priority="1352">
      <formula>I36&gt;200</formula>
    </cfRule>
  </conditionalFormatting>
  <conditionalFormatting sqref="I75 Q75 Y75 Q37 Y37 I37">
    <cfRule type="expression" dxfId="3497" priority="1349">
      <formula>I37&lt;20</formula>
    </cfRule>
    <cfRule type="expression" dxfId="3496" priority="1350">
      <formula>I37&gt;50</formula>
    </cfRule>
  </conditionalFormatting>
  <conditionalFormatting sqref="I19 Q19 Y19 I57 Q57 Y57">
    <cfRule type="cellIs" dxfId="3495" priority="603" operator="between">
      <formula>15%</formula>
      <formula>16.99%</formula>
    </cfRule>
    <cfRule type="cellIs" dxfId="3494" priority="604" operator="between">
      <formula>27.01%</formula>
      <formula>30%</formula>
    </cfRule>
    <cfRule type="expression" dxfId="3493" priority="605">
      <formula>I19&lt;15%</formula>
    </cfRule>
    <cfRule type="expression" dxfId="3492" priority="606">
      <formula>I19&gt;30%</formula>
    </cfRule>
  </conditionalFormatting>
  <conditionalFormatting sqref="I15 Q15 Y15 I53 Q53 Y53">
    <cfRule type="expression" dxfId="3491" priority="601">
      <formula>I15&lt;8</formula>
    </cfRule>
    <cfRule type="expression" dxfId="3490" priority="602">
      <formula>I15&gt;12</formula>
    </cfRule>
  </conditionalFormatting>
  <conditionalFormatting sqref="I17 Q17 Y17 I55 Q55 Y55">
    <cfRule type="cellIs" dxfId="3489" priority="597" operator="between">
      <formula>2</formula>
      <formula>2.199</formula>
    </cfRule>
    <cfRule type="cellIs" dxfId="3488" priority="598" operator="between">
      <formula>2.41</formula>
      <formula>2.5</formula>
    </cfRule>
    <cfRule type="expression" dxfId="3487" priority="599">
      <formula>I17&lt;2</formula>
    </cfRule>
    <cfRule type="expression" dxfId="3486" priority="600">
      <formula>I17&gt;2.5</formula>
    </cfRule>
  </conditionalFormatting>
  <conditionalFormatting sqref="I20 Q20 Y20 I58 Q58 Y58">
    <cfRule type="expression" dxfId="3485" priority="595">
      <formula>I20&lt;5%</formula>
    </cfRule>
    <cfRule type="expression" dxfId="3484" priority="596">
      <formula>I20&gt;15%</formula>
    </cfRule>
  </conditionalFormatting>
  <conditionalFormatting sqref="I20 Q20 Y20 I58 Q58 Y58">
    <cfRule type="cellIs" dxfId="3483" priority="593" operator="between">
      <formula>5%</formula>
      <formula>6.99%</formula>
    </cfRule>
    <cfRule type="cellIs" dxfId="3482" priority="594" operator="between">
      <formula>13.1%</formula>
      <formula>15%</formula>
    </cfRule>
  </conditionalFormatting>
  <conditionalFormatting sqref="I6 I8 Q6 Q8 Y6 Y8 I44 I46 Q44 Q46 Y44 Y46">
    <cfRule type="cellIs" dxfId="3481" priority="589" operator="between">
      <formula>60</formula>
      <formula>64.99</formula>
    </cfRule>
    <cfRule type="cellIs" dxfId="3480" priority="590" operator="between">
      <formula>75.1</formula>
      <formula>80</formula>
    </cfRule>
    <cfRule type="expression" dxfId="3479" priority="591">
      <formula>I6&lt;60</formula>
    </cfRule>
    <cfRule type="expression" dxfId="3478" priority="592">
      <formula>I6&gt;80</formula>
    </cfRule>
  </conditionalFormatting>
  <conditionalFormatting sqref="I16 Q16 Y16 I54 Q54 Y54">
    <cfRule type="cellIs" dxfId="3477" priority="586" operator="between">
      <formula>8.01</formula>
      <formula>10</formula>
    </cfRule>
    <cfRule type="expression" dxfId="3476" priority="587">
      <formula>I16&lt;6</formula>
    </cfRule>
    <cfRule type="expression" dxfId="3475" priority="588">
      <formula>I16&gt;10</formula>
    </cfRule>
  </conditionalFormatting>
  <conditionalFormatting sqref="I18 Q18 Y18 I56 Q56 Y56">
    <cfRule type="cellIs" dxfId="3474" priority="582" operator="between">
      <formula>30%</formula>
      <formula>39.99%</formula>
    </cfRule>
    <cfRule type="cellIs" dxfId="3473" priority="583" operator="between">
      <formula>50.01%</formula>
      <formula>60%</formula>
    </cfRule>
    <cfRule type="expression" dxfId="3472" priority="584">
      <formula>I18&lt;30%</formula>
    </cfRule>
    <cfRule type="expression" dxfId="3471" priority="585">
      <formula>I18&gt;60%</formula>
    </cfRule>
  </conditionalFormatting>
  <conditionalFormatting sqref="I10 I12 Q10 Q12 Y10 Y12 K32 I32 S32 Q32 AA32 Y32 I48 I50 Q48 Q50 Y48 Y50 K70 I70 S70 Q70 AA70 Y70">
    <cfRule type="expression" dxfId="3470" priority="580">
      <formula>I10&lt;50</formula>
    </cfRule>
    <cfRule type="expression" dxfId="3469" priority="581">
      <formula>I10&gt;70</formula>
    </cfRule>
  </conditionalFormatting>
  <conditionalFormatting sqref="I14 Q14 Y14 I52 Q52 Y52">
    <cfRule type="cellIs" dxfId="3468" priority="574" operator="between">
      <formula>130</formula>
      <formula>132.99</formula>
    </cfRule>
    <cfRule type="cellIs" dxfId="3467" priority="575" operator="between">
      <formula>147.1</formula>
      <formula>150</formula>
    </cfRule>
    <cfRule type="expression" dxfId="3466" priority="576">
      <formula>I14&lt;130</formula>
    </cfRule>
    <cfRule type="expression" dxfId="3465" priority="577">
      <formula>I14&gt;150</formula>
    </cfRule>
  </conditionalFormatting>
  <conditionalFormatting sqref="I21 Q21 Y21 I59 Q59 Y59">
    <cfRule type="cellIs" dxfId="3464" priority="570" operator="between">
      <formula>0.5%</formula>
      <formula>0.599%</formula>
    </cfRule>
    <cfRule type="cellIs" dxfId="3463" priority="571" operator="between">
      <formula>1.41%</formula>
      <formula>1.5%</formula>
    </cfRule>
    <cfRule type="expression" dxfId="3462" priority="572">
      <formula>I21&lt;0.5%</formula>
    </cfRule>
    <cfRule type="expression" dxfId="3461" priority="573">
      <formula>I21&gt;1.5%</formula>
    </cfRule>
  </conditionalFormatting>
  <conditionalFormatting sqref="I30:L30 Q30:T30 Y30:AB30 I68:L68 Q68:T68 Y68:AB68">
    <cfRule type="cellIs" dxfId="3460" priority="378" operator="between">
      <formula>22</formula>
      <formula>25.99</formula>
    </cfRule>
    <cfRule type="cellIs" dxfId="3459" priority="379" operator="between">
      <formula>34.1</formula>
      <formula>35</formula>
    </cfRule>
    <cfRule type="expression" dxfId="3458" priority="380">
      <formula>I30&lt;22</formula>
    </cfRule>
    <cfRule type="expression" dxfId="3457" priority="381">
      <formula>I30&gt;35</formula>
    </cfRule>
  </conditionalFormatting>
  <conditionalFormatting sqref="I31:L31 Q31:T31 Y31:AB31 I69:L69 Q69:T69 Y69:AB69">
    <cfRule type="cellIs" dxfId="3456" priority="374" operator="between">
      <formula>30</formula>
      <formula>31.99</formula>
    </cfRule>
    <cfRule type="cellIs" dxfId="3455" priority="375" operator="between">
      <formula>36.1</formula>
      <formula>38</formula>
    </cfRule>
    <cfRule type="expression" dxfId="3454" priority="376">
      <formula>I31&lt;30</formula>
    </cfRule>
    <cfRule type="expression" dxfId="3453" priority="377">
      <formula>I31&gt;38</formula>
    </cfRule>
  </conditionalFormatting>
  <conditionalFormatting sqref="K71 K33 S33 AA33 S71 AA71">
    <cfRule type="cellIs" dxfId="3452" priority="370" operator="between">
      <formula>80</formula>
      <formula>84.9</formula>
    </cfRule>
    <cfRule type="cellIs" dxfId="3451" priority="371" operator="between">
      <formula>95.1</formula>
      <formula>100</formula>
    </cfRule>
    <cfRule type="expression" dxfId="3450" priority="372">
      <formula>K33&lt;80</formula>
    </cfRule>
    <cfRule type="expression" dxfId="3449" priority="373">
      <formula>K33&gt;100</formula>
    </cfRule>
  </conditionalFormatting>
  <conditionalFormatting sqref="I26:L27 Q26:T27 Y26:AB27 I64:L65 Q64:T65 Y64:AB65">
    <cfRule type="cellIs" dxfId="3448" priority="366" operator="between">
      <formula>50</formula>
      <formula>54.9</formula>
    </cfRule>
    <cfRule type="cellIs" dxfId="3447" priority="367" operator="between">
      <formula>65.1</formula>
      <formula>70</formula>
    </cfRule>
    <cfRule type="expression" dxfId="3446" priority="368">
      <formula>I26&lt;50</formula>
    </cfRule>
    <cfRule type="expression" dxfId="3445" priority="369">
      <formula>I26&gt;70</formula>
    </cfRule>
  </conditionalFormatting>
  <conditionalFormatting sqref="I61 Q61 Y61 I23 Q23 Y23">
    <cfRule type="cellIs" dxfId="3444" priority="113" operator="between">
      <formula>1.8</formula>
      <formula>1.999</formula>
    </cfRule>
    <cfRule type="cellIs" dxfId="3443" priority="114" operator="between">
      <formula>2.21</formula>
      <formula>2.4</formula>
    </cfRule>
    <cfRule type="expression" dxfId="3442" priority="115">
      <formula>I23&lt;1.8</formula>
    </cfRule>
    <cfRule type="expression" dxfId="3441" priority="116">
      <formula>I23&gt;2.4</formula>
    </cfRule>
  </conditionalFormatting>
  <conditionalFormatting sqref="I28:I29 K28:K29 Q28:Q29 S28:S29 Y28:Y29 AA28:AA29 I66:I67 K66:K67 Q66:Q67 S66:S67 Y66:Y67 AA66:AA67">
    <cfRule type="expression" dxfId="3440" priority="71">
      <formula>I28&lt;45</formula>
    </cfRule>
    <cfRule type="expression" dxfId="3439" priority="72">
      <formula>I28&gt;55</formula>
    </cfRule>
  </conditionalFormatting>
  <conditionalFormatting sqref="I60 Q60 Y60 I22 Q22 Y22">
    <cfRule type="cellIs" dxfId="3438" priority="21" operator="between">
      <formula>5</formula>
      <formula>5.499</formula>
    </cfRule>
    <cfRule type="cellIs" dxfId="3437" priority="22" operator="between">
      <formula>6.51</formula>
      <formula>8</formula>
    </cfRule>
    <cfRule type="expression" dxfId="3436" priority="23">
      <formula>I22&lt;5</formula>
    </cfRule>
    <cfRule type="expression" dxfId="3435" priority="24">
      <formula>I22&gt;8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BO89"/>
  <sheetViews>
    <sheetView zoomScale="55" zoomScaleNormal="55" zoomScaleSheetLayoutView="55" workbookViewId="0">
      <pane ySplit="1" topLeftCell="A2" activePane="bottomLeft" state="frozen"/>
      <selection pane="bottomLeft" activeCell="U39" sqref="U39"/>
    </sheetView>
  </sheetViews>
  <sheetFormatPr defaultRowHeight="16.5"/>
  <cols>
    <col min="1" max="1" width="5" style="979" customWidth="1"/>
    <col min="2" max="2" width="7.5" style="980" customWidth="1"/>
    <col min="3" max="3" width="3.5" style="980" customWidth="1"/>
    <col min="4" max="4" width="6" style="980" customWidth="1"/>
    <col min="5" max="5" width="5.625" style="980" customWidth="1"/>
    <col min="6" max="6" width="7.5" style="981" customWidth="1"/>
    <col min="7" max="7" width="14.125" style="981" customWidth="1"/>
    <col min="8" max="8" width="10" style="981" customWidth="1"/>
    <col min="9" max="9" width="8.375" style="981" customWidth="1"/>
    <col min="10" max="10" width="2.625" style="981" customWidth="1"/>
    <col min="11" max="11" width="8" style="981" customWidth="1"/>
    <col min="12" max="12" width="4" style="981" customWidth="1"/>
    <col min="13" max="13" width="6.625" style="944" customWidth="1"/>
    <col min="14" max="14" width="3.375" style="944" customWidth="1"/>
    <col min="15" max="15" width="8.75" style="944" customWidth="1"/>
    <col min="16" max="16" width="4" style="944" customWidth="1"/>
    <col min="17" max="17" width="8.25" style="981" customWidth="1"/>
    <col min="18" max="18" width="2.375" style="981" customWidth="1"/>
    <col min="19" max="19" width="8.25" style="981" customWidth="1"/>
    <col min="20" max="20" width="4.25" style="981" customWidth="1"/>
    <col min="21" max="21" width="7.125" style="944" customWidth="1"/>
    <col min="22" max="22" width="4" style="944" customWidth="1"/>
    <col min="23" max="23" width="7.875" style="944" customWidth="1"/>
    <col min="24" max="24" width="3.75" style="944" customWidth="1"/>
    <col min="25" max="25" width="7.5" style="981" customWidth="1"/>
    <col min="26" max="26" width="4.25" style="981" customWidth="1"/>
    <col min="27" max="27" width="7.625" style="981" customWidth="1"/>
    <col min="28" max="28" width="4.875" style="981" customWidth="1"/>
    <col min="29" max="29" width="7" style="944" customWidth="1"/>
    <col min="30" max="30" width="3.75" style="944" customWidth="1"/>
    <col min="31" max="31" width="7.5" style="944" customWidth="1"/>
    <col min="32" max="32" width="4.25" style="944" customWidth="1"/>
    <col min="33" max="33" width="7.625" style="8" customWidth="1"/>
    <col min="34" max="34" width="1.75" style="8" customWidth="1"/>
    <col min="35" max="35" width="3.875" style="979" customWidth="1"/>
    <col min="36" max="36" width="8" style="980" customWidth="1"/>
    <col min="37" max="37" width="3.5" style="980" customWidth="1"/>
    <col min="38" max="38" width="6" style="980" customWidth="1"/>
    <col min="39" max="39" width="5.5" style="980" customWidth="1"/>
    <col min="40" max="40" width="7.5" style="981" customWidth="1"/>
    <col min="41" max="41" width="12.5" style="981" customWidth="1"/>
    <col min="42" max="42" width="9.75" style="981" customWidth="1"/>
    <col min="43" max="43" width="8.375" style="981" customWidth="1"/>
    <col min="44" max="44" width="2.625" style="981" customWidth="1"/>
    <col min="45" max="45" width="8" style="981" customWidth="1"/>
    <col min="46" max="46" width="4" style="981" customWidth="1"/>
    <col min="47" max="47" width="7.5" style="944" customWidth="1"/>
    <col min="48" max="48" width="2.75" style="944" customWidth="1"/>
    <col min="49" max="49" width="8.75" style="944" customWidth="1"/>
    <col min="50" max="50" width="4" style="944" customWidth="1"/>
    <col min="51" max="51" width="8.25" style="981" customWidth="1"/>
    <col min="52" max="52" width="2.375" style="981" customWidth="1"/>
    <col min="53" max="53" width="8.25" style="981" customWidth="1"/>
    <col min="54" max="54" width="4.25" style="981" customWidth="1"/>
    <col min="55" max="55" width="8.375" style="944" customWidth="1"/>
    <col min="56" max="56" width="4" style="944" customWidth="1"/>
    <col min="57" max="57" width="7.375" style="944" customWidth="1"/>
    <col min="58" max="58" width="3.75" style="944" customWidth="1"/>
    <col min="59" max="59" width="7.5" style="981" customWidth="1"/>
    <col min="60" max="60" width="4.25" style="981" customWidth="1"/>
    <col min="61" max="61" width="7.625" style="981" customWidth="1"/>
    <col min="62" max="62" width="4.375" style="981" customWidth="1"/>
    <col min="63" max="63" width="8.125" style="944" customWidth="1"/>
    <col min="64" max="64" width="3.75" style="944" customWidth="1"/>
    <col min="65" max="65" width="6.5" style="944" customWidth="1"/>
    <col min="66" max="66" width="4.25" style="944" customWidth="1"/>
    <col min="67" max="67" width="7.125" style="8" customWidth="1"/>
    <col min="68" max="16384" width="9" style="8"/>
  </cols>
  <sheetData>
    <row r="1" spans="1:67" ht="28.5" customHeight="1">
      <c r="B1" s="1638" t="s">
        <v>134</v>
      </c>
      <c r="C1" s="1638"/>
      <c r="D1" s="1638"/>
      <c r="E1" s="1638"/>
      <c r="F1" s="1638"/>
      <c r="G1" s="1638"/>
      <c r="H1" s="1638"/>
      <c r="I1" s="1540"/>
      <c r="J1" s="1540"/>
      <c r="K1" s="1540"/>
      <c r="L1" s="1540"/>
      <c r="M1" s="1540"/>
      <c r="N1" s="1540"/>
      <c r="O1" s="1540"/>
      <c r="P1" s="1540"/>
      <c r="Q1" s="1540"/>
      <c r="R1" s="1540"/>
      <c r="S1" s="1540"/>
      <c r="T1" s="1540"/>
      <c r="U1" s="1540"/>
      <c r="V1" s="1540"/>
      <c r="W1" s="1540"/>
      <c r="X1" s="1540"/>
      <c r="Y1" s="1540"/>
      <c r="Z1" s="1540"/>
      <c r="AA1" s="2418"/>
      <c r="AB1" s="2418"/>
      <c r="AC1" s="2419"/>
      <c r="AD1" s="945"/>
      <c r="AE1" s="945"/>
      <c r="AF1" s="945"/>
      <c r="AG1" s="60"/>
      <c r="AJ1" s="1540" t="s">
        <v>134</v>
      </c>
      <c r="AK1" s="1540"/>
      <c r="AL1" s="1540"/>
      <c r="AM1" s="1540"/>
      <c r="AN1" s="1540"/>
      <c r="AO1" s="1540"/>
      <c r="AP1" s="1540"/>
      <c r="AQ1" s="1540"/>
      <c r="AR1" s="1540"/>
      <c r="AS1" s="1540"/>
      <c r="AT1" s="1540"/>
      <c r="AU1" s="1540"/>
      <c r="AV1" s="1540"/>
      <c r="AW1" s="1540"/>
      <c r="AX1" s="1540"/>
      <c r="AY1" s="1540"/>
      <c r="AZ1" s="1540"/>
      <c r="BA1" s="1540"/>
      <c r="BB1" s="1540"/>
      <c r="BC1" s="1540"/>
      <c r="BD1" s="1540"/>
      <c r="BE1" s="1540"/>
      <c r="BF1" s="1540"/>
      <c r="BG1" s="1540"/>
      <c r="BH1" s="1540"/>
      <c r="BI1" s="2418"/>
      <c r="BJ1" s="2418"/>
      <c r="BK1" s="2419"/>
      <c r="BL1" s="945"/>
      <c r="BM1" s="945"/>
      <c r="BN1" s="945"/>
      <c r="BO1" s="60"/>
    </row>
    <row r="2" spans="1:67" ht="51.75" customHeight="1">
      <c r="B2" s="2871" t="s">
        <v>135</v>
      </c>
      <c r="C2" s="2871"/>
      <c r="D2" s="2871"/>
      <c r="E2" s="2871"/>
      <c r="F2" s="2871"/>
      <c r="G2" s="2871"/>
      <c r="H2" s="2871"/>
      <c r="I2" s="2420"/>
      <c r="J2" s="2420"/>
      <c r="K2" s="2420"/>
      <c r="L2" s="2420"/>
      <c r="M2" s="2420"/>
      <c r="N2" s="2420"/>
      <c r="O2" s="2420"/>
      <c r="P2" s="2420"/>
      <c r="Q2" s="2420"/>
      <c r="R2" s="2420"/>
      <c r="S2" s="2420"/>
      <c r="T2" s="2420"/>
      <c r="U2" s="2420"/>
      <c r="V2" s="2420"/>
      <c r="W2" s="2420"/>
      <c r="X2" s="2674"/>
      <c r="Y2" s="2420"/>
      <c r="Z2" s="2420"/>
      <c r="AA2" s="2418"/>
      <c r="AB2" s="2418"/>
      <c r="AC2" s="2419"/>
      <c r="AD2" s="3128" t="s">
        <v>87</v>
      </c>
      <c r="AE2" s="3128"/>
      <c r="AF2" s="3130" t="s">
        <v>88</v>
      </c>
      <c r="AG2" s="3131"/>
      <c r="AJ2" s="2420" t="s">
        <v>1493</v>
      </c>
      <c r="AK2" s="2420"/>
      <c r="AL2" s="2420"/>
      <c r="AM2" s="2420"/>
      <c r="AN2" s="2420"/>
      <c r="AO2" s="2420"/>
      <c r="AP2" s="2420"/>
      <c r="AQ2" s="2420"/>
      <c r="AR2" s="2420"/>
      <c r="AS2" s="2420"/>
      <c r="AT2" s="2420"/>
      <c r="AU2" s="2420"/>
      <c r="AV2" s="2420"/>
      <c r="AW2" s="2420"/>
      <c r="AX2" s="2420"/>
      <c r="AY2" s="2420"/>
      <c r="AZ2" s="2420"/>
      <c r="BA2" s="2420"/>
      <c r="BB2" s="2420"/>
      <c r="BC2" s="2420"/>
      <c r="BD2" s="2420"/>
      <c r="BE2" s="2420"/>
      <c r="BF2" s="2420"/>
      <c r="BG2" s="2420"/>
      <c r="BH2" s="2420"/>
      <c r="BI2" s="2418"/>
      <c r="BJ2" s="2418"/>
      <c r="BK2" s="2419"/>
      <c r="BL2" s="3128" t="s">
        <v>87</v>
      </c>
      <c r="BM2" s="3128"/>
      <c r="BN2" s="3130" t="s">
        <v>88</v>
      </c>
      <c r="BO2" s="3131"/>
    </row>
    <row r="3" spans="1:67" ht="32.25" customHeight="1">
      <c r="A3" s="967"/>
      <c r="B3" s="1418" t="s">
        <v>126</v>
      </c>
      <c r="C3" s="1419"/>
      <c r="D3" s="1389"/>
      <c r="E3" s="1390"/>
      <c r="F3" s="1391"/>
      <c r="G3" s="1388" t="s">
        <v>1594</v>
      </c>
      <c r="H3" s="1812" t="str">
        <f>MENU!$AC$9</f>
        <v>Thứ 5,</v>
      </c>
      <c r="I3" s="3196" t="str">
        <f>MENU!$AD$9</f>
        <v>2024/08/01</v>
      </c>
      <c r="J3" s="3197"/>
      <c r="K3" s="3197"/>
      <c r="L3" s="3197"/>
      <c r="M3" s="942"/>
      <c r="N3" s="942"/>
      <c r="O3" s="942"/>
      <c r="P3" s="942"/>
      <c r="Q3" s="968"/>
      <c r="R3" s="968"/>
      <c r="S3" s="968"/>
      <c r="T3" s="968"/>
      <c r="U3" s="942"/>
      <c r="V3" s="942"/>
      <c r="W3" s="942"/>
      <c r="X3" s="942"/>
      <c r="Y3" s="968"/>
      <c r="Z3" s="968"/>
      <c r="AA3" s="982"/>
      <c r="AB3" s="982"/>
      <c r="AC3" s="945"/>
      <c r="AD3" s="3129" t="str">
        <f>MENU!AE6</f>
        <v>L.Yen</v>
      </c>
      <c r="AE3" s="3129"/>
      <c r="AF3" s="3132" t="s">
        <v>11</v>
      </c>
      <c r="AG3" s="3133"/>
      <c r="AI3" s="967"/>
      <c r="AJ3" s="1418" t="s">
        <v>126</v>
      </c>
      <c r="AK3" s="1419"/>
      <c r="AL3" s="1389"/>
      <c r="AM3" s="1390"/>
      <c r="AN3" s="1391"/>
      <c r="AO3" s="1388" t="s">
        <v>1594</v>
      </c>
      <c r="AP3" s="1812" t="str">
        <f>MENU!$AC$9</f>
        <v>Thứ 5,</v>
      </c>
      <c r="AQ3" s="3196" t="str">
        <f>MENU!$AD$9</f>
        <v>2024/08/01</v>
      </c>
      <c r="AR3" s="3197"/>
      <c r="AS3" s="3197"/>
      <c r="AT3" s="3197"/>
      <c r="AU3" s="942"/>
      <c r="AV3" s="942"/>
      <c r="AW3" s="942"/>
      <c r="AX3" s="942"/>
      <c r="AY3" s="968"/>
      <c r="AZ3" s="968"/>
      <c r="BA3" s="968"/>
      <c r="BB3" s="968"/>
      <c r="BC3" s="942"/>
      <c r="BD3" s="942"/>
      <c r="BE3" s="942"/>
      <c r="BF3" s="942"/>
      <c r="BG3" s="968"/>
      <c r="BH3" s="968"/>
      <c r="BI3" s="982"/>
      <c r="BJ3" s="982"/>
      <c r="BK3" s="945"/>
      <c r="BL3" s="3129" t="str">
        <f>MENU!AE6</f>
        <v>L.Yen</v>
      </c>
      <c r="BM3" s="3129"/>
      <c r="BN3" s="3132" t="s">
        <v>11</v>
      </c>
      <c r="BO3" s="3133"/>
    </row>
    <row r="4" spans="1:67" s="61" customFormat="1" ht="46.5" customHeight="1">
      <c r="A4" s="3273" t="s">
        <v>7</v>
      </c>
      <c r="B4" s="3151" t="s">
        <v>75</v>
      </c>
      <c r="C4" s="3152"/>
      <c r="D4" s="3152"/>
      <c r="E4" s="3153"/>
      <c r="F4" s="3149" t="s">
        <v>123</v>
      </c>
      <c r="G4" s="3180" t="s">
        <v>1296</v>
      </c>
      <c r="H4" s="3185" t="s">
        <v>1289</v>
      </c>
      <c r="I4" s="3209">
        <v>0.30208333333333331</v>
      </c>
      <c r="J4" s="3168"/>
      <c r="K4" s="3168"/>
      <c r="L4" s="3169"/>
      <c r="M4" s="3123" t="s">
        <v>929</v>
      </c>
      <c r="N4" s="3271"/>
      <c r="O4" s="3271"/>
      <c r="P4" s="3272"/>
      <c r="Q4" s="3167">
        <v>0.46875</v>
      </c>
      <c r="R4" s="3168"/>
      <c r="S4" s="3168"/>
      <c r="T4" s="3169"/>
      <c r="U4" s="3123" t="s">
        <v>929</v>
      </c>
      <c r="V4" s="3124"/>
      <c r="W4" s="3124"/>
      <c r="X4" s="3125"/>
      <c r="Y4" s="3167">
        <v>0.63541666666666663</v>
      </c>
      <c r="Z4" s="3168"/>
      <c r="AA4" s="3168"/>
      <c r="AB4" s="3169"/>
      <c r="AC4" s="3123" t="s">
        <v>929</v>
      </c>
      <c r="AD4" s="3124"/>
      <c r="AE4" s="3124"/>
      <c r="AF4" s="3125"/>
      <c r="AG4" s="3216" t="s">
        <v>38</v>
      </c>
      <c r="AI4" s="3273" t="s">
        <v>7</v>
      </c>
      <c r="AJ4" s="3151" t="s">
        <v>75</v>
      </c>
      <c r="AK4" s="3152"/>
      <c r="AL4" s="3152"/>
      <c r="AM4" s="3153"/>
      <c r="AN4" s="3149" t="s">
        <v>123</v>
      </c>
      <c r="AO4" s="3180" t="s">
        <v>1296</v>
      </c>
      <c r="AP4" s="3185" t="s">
        <v>1289</v>
      </c>
      <c r="AQ4" s="3209">
        <v>0.30208333333333331</v>
      </c>
      <c r="AR4" s="3168"/>
      <c r="AS4" s="3168"/>
      <c r="AT4" s="3169"/>
      <c r="AU4" s="3123" t="s">
        <v>929</v>
      </c>
      <c r="AV4" s="3271"/>
      <c r="AW4" s="3271"/>
      <c r="AX4" s="3272"/>
      <c r="AY4" s="3167">
        <v>0.46875</v>
      </c>
      <c r="AZ4" s="3168"/>
      <c r="BA4" s="3168"/>
      <c r="BB4" s="3169"/>
      <c r="BC4" s="3123" t="s">
        <v>929</v>
      </c>
      <c r="BD4" s="3271"/>
      <c r="BE4" s="3271"/>
      <c r="BF4" s="3272"/>
      <c r="BG4" s="3167">
        <v>0.63541666666666663</v>
      </c>
      <c r="BH4" s="3168"/>
      <c r="BI4" s="3168"/>
      <c r="BJ4" s="3169"/>
      <c r="BK4" s="3123" t="s">
        <v>929</v>
      </c>
      <c r="BL4" s="3271"/>
      <c r="BM4" s="3271"/>
      <c r="BN4" s="3272"/>
      <c r="BO4" s="3216" t="s">
        <v>38</v>
      </c>
    </row>
    <row r="5" spans="1:67" s="61" customFormat="1" ht="46.5" customHeight="1">
      <c r="A5" s="3273"/>
      <c r="B5" s="3154"/>
      <c r="C5" s="3155"/>
      <c r="D5" s="3155"/>
      <c r="E5" s="3156"/>
      <c r="F5" s="3150"/>
      <c r="G5" s="3181"/>
      <c r="H5" s="3186"/>
      <c r="I5" s="2189" t="s">
        <v>128</v>
      </c>
      <c r="J5" s="3173" t="s">
        <v>1</v>
      </c>
      <c r="K5" s="3174"/>
      <c r="L5" s="3175"/>
      <c r="M5" s="906" t="s">
        <v>930</v>
      </c>
      <c r="N5" s="3126" t="s">
        <v>1</v>
      </c>
      <c r="O5" s="3126"/>
      <c r="P5" s="3127"/>
      <c r="Q5" s="948" t="s">
        <v>128</v>
      </c>
      <c r="R5" s="3173" t="s">
        <v>1</v>
      </c>
      <c r="S5" s="3174"/>
      <c r="T5" s="3175"/>
      <c r="U5" s="906" t="s">
        <v>128</v>
      </c>
      <c r="V5" s="3126" t="s">
        <v>1</v>
      </c>
      <c r="W5" s="3126"/>
      <c r="X5" s="3127"/>
      <c r="Y5" s="948" t="s">
        <v>128</v>
      </c>
      <c r="Z5" s="3173" t="s">
        <v>1</v>
      </c>
      <c r="AA5" s="3174"/>
      <c r="AB5" s="3175"/>
      <c r="AC5" s="906" t="s">
        <v>128</v>
      </c>
      <c r="AD5" s="3126" t="s">
        <v>1</v>
      </c>
      <c r="AE5" s="3126"/>
      <c r="AF5" s="3127"/>
      <c r="AG5" s="3217"/>
      <c r="AI5" s="3273"/>
      <c r="AJ5" s="3297"/>
      <c r="AK5" s="3298"/>
      <c r="AL5" s="3298"/>
      <c r="AM5" s="3299"/>
      <c r="AN5" s="3300"/>
      <c r="AO5" s="3301"/>
      <c r="AP5" s="3302"/>
      <c r="AQ5" s="2189" t="s">
        <v>128</v>
      </c>
      <c r="AR5" s="3173" t="s">
        <v>1</v>
      </c>
      <c r="AS5" s="3174"/>
      <c r="AT5" s="3175"/>
      <c r="AU5" s="906" t="s">
        <v>930</v>
      </c>
      <c r="AV5" s="3126" t="s">
        <v>1</v>
      </c>
      <c r="AW5" s="3126"/>
      <c r="AX5" s="3127"/>
      <c r="AY5" s="948" t="s">
        <v>128</v>
      </c>
      <c r="AZ5" s="3173" t="s">
        <v>1</v>
      </c>
      <c r="BA5" s="3174"/>
      <c r="BB5" s="3175"/>
      <c r="BC5" s="906" t="s">
        <v>128</v>
      </c>
      <c r="BD5" s="3126" t="s">
        <v>1</v>
      </c>
      <c r="BE5" s="3126"/>
      <c r="BF5" s="3127"/>
      <c r="BG5" s="948" t="s">
        <v>128</v>
      </c>
      <c r="BH5" s="3173" t="s">
        <v>1</v>
      </c>
      <c r="BI5" s="3174"/>
      <c r="BJ5" s="3175"/>
      <c r="BK5" s="906" t="s">
        <v>128</v>
      </c>
      <c r="BL5" s="3126" t="s">
        <v>1</v>
      </c>
      <c r="BM5" s="3126"/>
      <c r="BN5" s="3127"/>
      <c r="BO5" s="3305"/>
    </row>
    <row r="6" spans="1:67" ht="42" customHeight="1">
      <c r="A6" s="3249">
        <v>1</v>
      </c>
      <c r="B6" s="3251" t="s">
        <v>940</v>
      </c>
      <c r="C6" s="3252"/>
      <c r="D6" s="3164" t="s">
        <v>229</v>
      </c>
      <c r="E6" s="3165"/>
      <c r="F6" s="2882" t="s">
        <v>4</v>
      </c>
      <c r="G6" s="897" t="str">
        <f>'[6]XM.FILE GOC'!$E$78</f>
        <v>40~60</v>
      </c>
      <c r="H6" s="2202" t="str">
        <f>'XM.FILE GOC'!$F$78</f>
        <v>(50±5)</v>
      </c>
      <c r="I6" s="2205">
        <f>'XM.FILE GOC'!I78</f>
        <v>48.026000000000003</v>
      </c>
      <c r="J6" s="969" t="s">
        <v>8</v>
      </c>
      <c r="K6" s="970">
        <f>'XM.FILE GOC'!L78</f>
        <v>30.630557999999947</v>
      </c>
      <c r="L6" s="971" t="s">
        <v>9</v>
      </c>
      <c r="M6" s="907">
        <v>50</v>
      </c>
      <c r="N6" s="910" t="str">
        <f>IF(M6="","","+")</f>
        <v>+</v>
      </c>
      <c r="O6" s="1588">
        <f>IF(M6=0,"",('XM.FILE GOC'!$G$78-M6)*15517/1000)</f>
        <v>0</v>
      </c>
      <c r="P6" s="2895" t="str">
        <f>IF(O6="","","kg")</f>
        <v>kg</v>
      </c>
      <c r="Q6" s="1398">
        <f>'XM.FILE GOC'!P78</f>
        <v>50.9465</v>
      </c>
      <c r="R6" s="969" t="s">
        <v>8</v>
      </c>
      <c r="S6" s="970">
        <f>'XM.FILE GOC'!S78</f>
        <v>0</v>
      </c>
      <c r="T6" s="971" t="s">
        <v>9</v>
      </c>
      <c r="U6" s="907"/>
      <c r="V6" s="910" t="str">
        <f>IF(U6="","","+")</f>
        <v/>
      </c>
      <c r="W6" s="1588" t="str">
        <f>IF(U6=0,"",('XM.FILE GOC'!$G$78-U6)*15517/1000)</f>
        <v/>
      </c>
      <c r="X6" s="2895" t="str">
        <f>IF(W6="","","kg")</f>
        <v/>
      </c>
      <c r="Y6" s="1398">
        <f>'XM.FILE GOC'!W78</f>
        <v>51.271000000000001</v>
      </c>
      <c r="Z6" s="969" t="s">
        <v>8</v>
      </c>
      <c r="AA6" s="970">
        <f>'XM.FILE GOC'!Z78</f>
        <v>0</v>
      </c>
      <c r="AB6" s="971" t="s">
        <v>9</v>
      </c>
      <c r="AC6" s="907"/>
      <c r="AD6" s="910" t="str">
        <f>IF(AC6="","","+")</f>
        <v/>
      </c>
      <c r="AE6" s="1588" t="str">
        <f>IF(AC6=0,"",('XM.FILE GOC'!$G$78-AC6)*15517/1000)</f>
        <v/>
      </c>
      <c r="AF6" s="2895" t="str">
        <f>IF(AE6="","","kg")</f>
        <v/>
      </c>
      <c r="AG6" s="69" t="s">
        <v>39</v>
      </c>
      <c r="AI6" s="2851">
        <v>1</v>
      </c>
      <c r="AJ6" s="3303" t="s">
        <v>1663</v>
      </c>
      <c r="AK6" s="3303"/>
      <c r="AL6" s="3303" t="s">
        <v>115</v>
      </c>
      <c r="AM6" s="3303"/>
      <c r="AN6" s="2049" t="s">
        <v>4</v>
      </c>
      <c r="AO6" s="2048" t="str">
        <f>'XM.GUI MAIL'!$E$99</f>
        <v>5~6</v>
      </c>
      <c r="AP6" s="2217" t="str">
        <f>'XM.GUI MAIL'!$F$99</f>
        <v>(5.5± 0.5)</v>
      </c>
      <c r="AQ6" s="2205">
        <f>'XM.FILE GOC'!I99</f>
        <v>0</v>
      </c>
      <c r="AR6" s="969" t="s">
        <v>8</v>
      </c>
      <c r="AS6" s="2804">
        <f>'XM.FILE GOC'!L99</f>
        <v>44</v>
      </c>
      <c r="AT6" s="2799" t="s">
        <v>9</v>
      </c>
      <c r="AU6" s="1573"/>
      <c r="AV6" s="910" t="str">
        <f>IF(AU6="","","+")</f>
        <v/>
      </c>
      <c r="AW6" s="1589" t="str">
        <f>IF(AU6=0,"",('XM.FILE GOC'!$G$99-AU6)*8000/1000)</f>
        <v/>
      </c>
      <c r="AX6" s="2895" t="str">
        <f>IF(AW6="","","kg")</f>
        <v/>
      </c>
      <c r="AY6" s="1398">
        <f>'XM.FILE GOC'!P99</f>
        <v>0</v>
      </c>
      <c r="AZ6" s="969" t="s">
        <v>8</v>
      </c>
      <c r="BA6" s="2804">
        <f>'XM.FILE GOC'!S99</f>
        <v>44</v>
      </c>
      <c r="BB6" s="2799" t="s">
        <v>9</v>
      </c>
      <c r="BC6" s="1573"/>
      <c r="BD6" s="910" t="str">
        <f>IF(BC6="","","+")</f>
        <v/>
      </c>
      <c r="BE6" s="1589" t="str">
        <f>IF(BC6=0,"",('XM.FILE GOC'!$G$99-BC6)*8000/1000)</f>
        <v/>
      </c>
      <c r="BF6" s="2895" t="str">
        <f>IF(BE6="","","kg")</f>
        <v/>
      </c>
      <c r="BG6" s="1398">
        <f>'XM.FILE GOC'!W99</f>
        <v>0</v>
      </c>
      <c r="BH6" s="969" t="s">
        <v>8</v>
      </c>
      <c r="BI6" s="2804">
        <f>'XM.FILE GOC'!Z99</f>
        <v>44</v>
      </c>
      <c r="BJ6" s="2799" t="s">
        <v>9</v>
      </c>
      <c r="BK6" s="1573"/>
      <c r="BL6" s="910" t="str">
        <f>IF(BK6="","","+")</f>
        <v/>
      </c>
      <c r="BM6" s="1589" t="str">
        <f>IF(BK6=0,"",('XM.FILE GOC'!$G$99-BK6)*8000/1000)</f>
        <v/>
      </c>
      <c r="BN6" s="2895" t="str">
        <f>IF(BM6="","","kg")</f>
        <v/>
      </c>
      <c r="BO6" s="2790" t="s">
        <v>40</v>
      </c>
    </row>
    <row r="7" spans="1:67" ht="42" customHeight="1">
      <c r="A7" s="3250"/>
      <c r="B7" s="3253"/>
      <c r="C7" s="3254"/>
      <c r="D7" s="3164" t="s">
        <v>230</v>
      </c>
      <c r="E7" s="3165"/>
      <c r="F7" s="896"/>
      <c r="G7" s="897" t="s">
        <v>1479</v>
      </c>
      <c r="H7" s="2202"/>
      <c r="I7" s="2191"/>
      <c r="J7" s="58"/>
      <c r="K7" s="952">
        <f>K6/25*8.5</f>
        <v>10.414389719999981</v>
      </c>
      <c r="L7" s="587" t="s">
        <v>10</v>
      </c>
      <c r="M7" s="907"/>
      <c r="N7" s="910" t="str">
        <f>IF(M6="","","+")</f>
        <v>+</v>
      </c>
      <c r="O7" s="1586">
        <f>IF(M6=0,"",O6/25*8.5)</f>
        <v>0</v>
      </c>
      <c r="P7" s="2895" t="str">
        <f>IF(O6="","","L")</f>
        <v>L</v>
      </c>
      <c r="Q7" s="1676"/>
      <c r="R7" s="58"/>
      <c r="S7" s="952">
        <f>S6/25*8.5</f>
        <v>0</v>
      </c>
      <c r="T7" s="587" t="s">
        <v>10</v>
      </c>
      <c r="U7" s="907"/>
      <c r="V7" s="910" t="str">
        <f>IF(U6="","","+")</f>
        <v/>
      </c>
      <c r="W7" s="1586" t="str">
        <f>IF(U6=0,"",W6/25*8.5)</f>
        <v/>
      </c>
      <c r="X7" s="2895" t="str">
        <f>IF(W6="","","L")</f>
        <v/>
      </c>
      <c r="Y7" s="1676"/>
      <c r="Z7" s="58"/>
      <c r="AA7" s="952">
        <f>AA6/25*8.5</f>
        <v>0</v>
      </c>
      <c r="AB7" s="587" t="s">
        <v>10</v>
      </c>
      <c r="AC7" s="907"/>
      <c r="AD7" s="910" t="str">
        <f>IF(AC6="","","+")</f>
        <v/>
      </c>
      <c r="AE7" s="1586" t="str">
        <f>IF(AC6=0,"",AE6/25*8.5)</f>
        <v/>
      </c>
      <c r="AF7" s="2895" t="str">
        <f>IF(AE6="","","L")</f>
        <v/>
      </c>
      <c r="AG7" s="69"/>
      <c r="AI7" s="2792">
        <v>2</v>
      </c>
      <c r="AJ7" s="3303"/>
      <c r="AK7" s="3303"/>
      <c r="AL7" s="3303" t="s">
        <v>99</v>
      </c>
      <c r="AM7" s="3303"/>
      <c r="AN7" s="2049" t="s">
        <v>4</v>
      </c>
      <c r="AO7" s="2048" t="str">
        <f>'XM.GUI MAIL'!$E$100</f>
        <v>130~140</v>
      </c>
      <c r="AP7" s="2801" t="str">
        <f>'XM.GUI MAIL'!$F$100</f>
        <v>(135 ± 5)</v>
      </c>
      <c r="AQ7" s="53">
        <f>'XM.FILE GOC'!I100</f>
        <v>0</v>
      </c>
      <c r="AR7" s="969" t="s">
        <v>8</v>
      </c>
      <c r="AS7" s="2804">
        <f>'XM.FILE GOC'!L100</f>
        <v>1080</v>
      </c>
      <c r="AT7" s="2799" t="s">
        <v>9</v>
      </c>
      <c r="AU7" s="1573"/>
      <c r="AV7" s="910" t="str">
        <f>IF(AU7="","","+")</f>
        <v/>
      </c>
      <c r="AW7" s="1589" t="str">
        <f>IF(AU7=0,"",('XM.FILE GOC'!$G$100-AU7)*8000/1000)</f>
        <v/>
      </c>
      <c r="AX7" s="2895" t="str">
        <f>IF(AW7="","","kg")</f>
        <v/>
      </c>
      <c r="AY7" s="53">
        <f>'XM.FILE GOC'!P100</f>
        <v>0</v>
      </c>
      <c r="AZ7" s="969" t="s">
        <v>8</v>
      </c>
      <c r="BA7" s="2804">
        <f>'XM.FILE GOC'!S100</f>
        <v>1080</v>
      </c>
      <c r="BB7" s="2799" t="s">
        <v>9</v>
      </c>
      <c r="BC7" s="1573"/>
      <c r="BD7" s="910" t="str">
        <f>IF(BC7="","","+")</f>
        <v/>
      </c>
      <c r="BE7" s="1589" t="str">
        <f>IF(BC7=0,"",('XM.FILE GOC'!$G$100-BC7)*8000/1000)</f>
        <v/>
      </c>
      <c r="BF7" s="2895" t="str">
        <f>IF(BE7="","","kg")</f>
        <v/>
      </c>
      <c r="BG7" s="53">
        <f>'XM.FILE GOC'!W100</f>
        <v>0</v>
      </c>
      <c r="BH7" s="969" t="s">
        <v>8</v>
      </c>
      <c r="BI7" s="2804">
        <f>'XM.FILE GOC'!Z100</f>
        <v>1080</v>
      </c>
      <c r="BJ7" s="2800" t="s">
        <v>9</v>
      </c>
      <c r="BK7" s="1573"/>
      <c r="BL7" s="910" t="str">
        <f>IF(BK7="","","+")</f>
        <v/>
      </c>
      <c r="BM7" s="1589" t="str">
        <f>IF(BK7=0,"",('XM.FILE GOC'!$G$100-BK7)*8000/1000)</f>
        <v/>
      </c>
      <c r="BN7" s="2895" t="str">
        <f>IF(BM7="","","kg")</f>
        <v/>
      </c>
      <c r="BO7" s="2790" t="s">
        <v>41</v>
      </c>
    </row>
    <row r="8" spans="1:67" ht="42" customHeight="1">
      <c r="A8" s="3249">
        <v>2</v>
      </c>
      <c r="B8" s="3251" t="s">
        <v>941</v>
      </c>
      <c r="C8" s="3252"/>
      <c r="D8" s="3164" t="s">
        <v>229</v>
      </c>
      <c r="E8" s="3165"/>
      <c r="F8" s="2882" t="s">
        <v>4</v>
      </c>
      <c r="G8" s="897" t="str">
        <f>'[6]XM.FILE GOC'!$E$80</f>
        <v>40~60</v>
      </c>
      <c r="H8" s="2202" t="str">
        <f>'XM.FILE GOC'!$F$80</f>
        <v>(50±5)</v>
      </c>
      <c r="I8" s="2205">
        <f>'XM.FILE GOC'!I80</f>
        <v>49.648500000000006</v>
      </c>
      <c r="J8" s="969" t="s">
        <v>8</v>
      </c>
      <c r="K8" s="970">
        <f>'XM.FILE GOC'!L80</f>
        <v>4.0334624999999358</v>
      </c>
      <c r="L8" s="971" t="s">
        <v>9</v>
      </c>
      <c r="M8" s="907">
        <v>50.3</v>
      </c>
      <c r="N8" s="910" t="str">
        <f>IF(M8="","","+")</f>
        <v>+</v>
      </c>
      <c r="O8" s="1588">
        <f>IF(M8=0,"",('XM.FILE GOC'!$G$80-M8)*11475/1000)</f>
        <v>-3.4424999999999675</v>
      </c>
      <c r="P8" s="2895" t="str">
        <f>IF(O8="","","kg")</f>
        <v>kg</v>
      </c>
      <c r="Q8" s="1398">
        <f>'XM.FILE GOC'!P80</f>
        <v>50.297499999999999</v>
      </c>
      <c r="R8" s="969" t="s">
        <v>8</v>
      </c>
      <c r="S8" s="970">
        <f>'XM.FILE GOC'!S80</f>
        <v>0</v>
      </c>
      <c r="T8" s="971" t="s">
        <v>9</v>
      </c>
      <c r="U8" s="907"/>
      <c r="V8" s="910" t="str">
        <f>IF(U8="","","+")</f>
        <v/>
      </c>
      <c r="W8" s="1588" t="str">
        <f>IF(U8=0,"",('XM.FILE GOC'!$G$80-U8)*11475/1000)</f>
        <v/>
      </c>
      <c r="X8" s="2895" t="str">
        <f>IF(W8="","","kg")</f>
        <v/>
      </c>
      <c r="Y8" s="1398">
        <f>'XM.FILE GOC'!W80</f>
        <v>50.297499999999999</v>
      </c>
      <c r="Z8" s="969" t="s">
        <v>8</v>
      </c>
      <c r="AA8" s="970">
        <f>'XM.FILE GOC'!Z80</f>
        <v>0</v>
      </c>
      <c r="AB8" s="971" t="s">
        <v>9</v>
      </c>
      <c r="AC8" s="907"/>
      <c r="AD8" s="910" t="str">
        <f>IF(AC8="","","+")</f>
        <v/>
      </c>
      <c r="AE8" s="1588" t="str">
        <f>IF(AC8=0,"",('XM.FILE GOC'!$G$80-AC8)*11475/1000)</f>
        <v/>
      </c>
      <c r="AF8" s="2895" t="str">
        <f>IF(AE8="","","kg")</f>
        <v/>
      </c>
      <c r="AG8" s="69" t="s">
        <v>39</v>
      </c>
      <c r="AI8" s="2672">
        <v>3</v>
      </c>
      <c r="AJ8" s="3304" t="s">
        <v>1664</v>
      </c>
      <c r="AK8" s="3304"/>
      <c r="AL8" s="3304"/>
      <c r="AM8" s="3304"/>
      <c r="AN8" s="2795" t="s">
        <v>5</v>
      </c>
      <c r="AO8" s="2048" t="str">
        <f>'XM.GUI MAIL'!$E$101</f>
        <v>3.0-4.5</v>
      </c>
      <c r="AP8" s="2217" t="str">
        <f>'XM.GUI MAIL'!$F$101</f>
        <v>(4.3±0.2)</v>
      </c>
      <c r="AQ8" s="594">
        <f>'XM.FILE GOC'!I101</f>
        <v>0</v>
      </c>
      <c r="AR8" s="969"/>
      <c r="AS8" s="2804"/>
      <c r="AT8" s="2799"/>
      <c r="AU8" s="1573"/>
      <c r="AV8" s="910"/>
      <c r="AW8" s="1588"/>
      <c r="AX8" s="911"/>
      <c r="AY8" s="594">
        <f>'XM.FILE GOC'!P101</f>
        <v>0</v>
      </c>
      <c r="AZ8" s="969"/>
      <c r="BA8" s="2804"/>
      <c r="BB8" s="2799"/>
      <c r="BC8" s="1573"/>
      <c r="BD8" s="910"/>
      <c r="BE8" s="1588"/>
      <c r="BF8" s="911"/>
      <c r="BG8" s="594">
        <f>'XM.FILE GOC'!W101</f>
        <v>0</v>
      </c>
      <c r="BH8" s="969"/>
      <c r="BI8" s="2804"/>
      <c r="BJ8" s="2799"/>
      <c r="BK8" s="1573"/>
      <c r="BL8" s="910"/>
      <c r="BM8" s="1588"/>
      <c r="BN8" s="911"/>
      <c r="BO8" s="2790" t="s">
        <v>42</v>
      </c>
    </row>
    <row r="9" spans="1:67" ht="42" customHeight="1">
      <c r="A9" s="3250"/>
      <c r="B9" s="3253"/>
      <c r="C9" s="3254"/>
      <c r="D9" s="3164" t="s">
        <v>230</v>
      </c>
      <c r="E9" s="3165"/>
      <c r="F9" s="896"/>
      <c r="G9" s="897" t="s">
        <v>1479</v>
      </c>
      <c r="H9" s="2202"/>
      <c r="I9" s="2191"/>
      <c r="J9" s="58"/>
      <c r="K9" s="952">
        <f>K8/25*8.5</f>
        <v>1.3713772499999783</v>
      </c>
      <c r="L9" s="587" t="s">
        <v>10</v>
      </c>
      <c r="M9" s="907"/>
      <c r="N9" s="910" t="str">
        <f>IF(M8="","","+")</f>
        <v>+</v>
      </c>
      <c r="O9" s="1586">
        <f>IF(M8=0,"",O8/25*8.5)</f>
        <v>-1.1704499999999891</v>
      </c>
      <c r="P9" s="2895" t="str">
        <f>IF(O8="","","L")</f>
        <v>L</v>
      </c>
      <c r="Q9" s="1676"/>
      <c r="R9" s="58"/>
      <c r="S9" s="952">
        <f>S8/25*8.5</f>
        <v>0</v>
      </c>
      <c r="T9" s="587" t="s">
        <v>10</v>
      </c>
      <c r="U9" s="907"/>
      <c r="V9" s="910" t="str">
        <f>IF(U8="","","+")</f>
        <v/>
      </c>
      <c r="W9" s="1586" t="str">
        <f>IF(U8=0,"",W8/25*8.5)</f>
        <v/>
      </c>
      <c r="X9" s="2895" t="str">
        <f>IF(W8="","","L")</f>
        <v/>
      </c>
      <c r="Y9" s="1676"/>
      <c r="Z9" s="58"/>
      <c r="AA9" s="952">
        <f>AA8/25*8.5</f>
        <v>0</v>
      </c>
      <c r="AB9" s="587" t="s">
        <v>10</v>
      </c>
      <c r="AC9" s="907"/>
      <c r="AD9" s="910" t="str">
        <f>IF(AC8="","","+")</f>
        <v/>
      </c>
      <c r="AE9" s="1586" t="str">
        <f>IF(AC8=0,"",AE8/25*8.5)</f>
        <v/>
      </c>
      <c r="AF9" s="2895" t="str">
        <f>IF(AE8="","","L")</f>
        <v/>
      </c>
      <c r="AG9" s="69"/>
      <c r="AI9" s="2791">
        <v>4</v>
      </c>
      <c r="AJ9" s="3248" t="s">
        <v>1631</v>
      </c>
      <c r="AK9" s="3248"/>
      <c r="AL9" s="3248"/>
      <c r="AM9" s="3248"/>
      <c r="AN9" s="2796" t="s">
        <v>54</v>
      </c>
      <c r="AO9" s="2797">
        <f>'XM.GUI MAIL'!$E$102</f>
        <v>0</v>
      </c>
      <c r="AP9" s="2798">
        <f>'XM.GUI MAIL'!$F$102</f>
        <v>0</v>
      </c>
      <c r="AQ9" s="978">
        <f>'XM.FILE GOC'!I102</f>
        <v>0</v>
      </c>
      <c r="AR9" s="2106" t="s">
        <v>8</v>
      </c>
      <c r="AS9" s="2107">
        <f>'XM.FILE GOC'!L102</f>
        <v>201.6</v>
      </c>
      <c r="AT9" s="2108" t="s">
        <v>9</v>
      </c>
      <c r="AU9" s="2802"/>
      <c r="AV9" s="910" t="str">
        <f>IF(AU9="","","+")</f>
        <v/>
      </c>
      <c r="AW9" s="2803" t="str">
        <f>IF(AU9=0,"",('XM.FILE GOC'!$G$102-AU9)*3360/1000)</f>
        <v/>
      </c>
      <c r="AX9" s="2895" t="str">
        <f>IF(AW9="","","kg")</f>
        <v/>
      </c>
      <c r="AY9" s="2850">
        <f>'XM.FILE GOC'!P102</f>
        <v>0</v>
      </c>
      <c r="AZ9" s="2842" t="s">
        <v>8</v>
      </c>
      <c r="BA9" s="2843">
        <f>'XM.FILE GOC'!S102</f>
        <v>201.6</v>
      </c>
      <c r="BB9" s="2844" t="s">
        <v>9</v>
      </c>
      <c r="BC9" s="2845"/>
      <c r="BD9" s="910" t="str">
        <f>IF(BC9="","","+")</f>
        <v/>
      </c>
      <c r="BE9" s="2847" t="str">
        <f>IF(BC9=0,"",('XM.FILE GOC'!$G$102-BC9)*3360/1000)</f>
        <v/>
      </c>
      <c r="BF9" s="2895" t="str">
        <f>IF(BE9="","","kg")</f>
        <v/>
      </c>
      <c r="BG9" s="2850">
        <f>'XM.FILE GOC'!W102</f>
        <v>0</v>
      </c>
      <c r="BH9" s="2842" t="s">
        <v>8</v>
      </c>
      <c r="BI9" s="2843">
        <f>'XM.FILE GOC'!Z102</f>
        <v>201.6</v>
      </c>
      <c r="BJ9" s="2849" t="s">
        <v>9</v>
      </c>
      <c r="BK9" s="2845"/>
      <c r="BL9" s="910" t="str">
        <f>IF(BK9="","","+")</f>
        <v/>
      </c>
      <c r="BM9" s="2847" t="str">
        <f>IF(BK9=0,"",('XM.FILE GOC'!$G$102-BK9)*3360/1000)</f>
        <v/>
      </c>
      <c r="BN9" s="2895" t="str">
        <f>IF(BM9="","","kg")</f>
        <v/>
      </c>
      <c r="BO9" s="2790"/>
    </row>
    <row r="10" spans="1:67" ht="42" customHeight="1">
      <c r="A10" s="3249">
        <v>3</v>
      </c>
      <c r="B10" s="3162" t="s">
        <v>942</v>
      </c>
      <c r="C10" s="3163"/>
      <c r="D10" s="3256" t="s">
        <v>231</v>
      </c>
      <c r="E10" s="3257" t="s">
        <v>231</v>
      </c>
      <c r="F10" s="2881" t="s">
        <v>4</v>
      </c>
      <c r="G10" s="897" t="str">
        <f>'[6]XM.GUI MAIL'!$E$82</f>
        <v>50~70</v>
      </c>
      <c r="H10" s="2202" t="str">
        <f>'XM.FILE GOC'!$F$82</f>
        <v>(60±5)</v>
      </c>
      <c r="I10" s="2205">
        <f>'XM.FILE GOC'!I82</f>
        <v>61.446000000000005</v>
      </c>
      <c r="J10" s="58" t="s">
        <v>8</v>
      </c>
      <c r="K10" s="586">
        <f>'XM.FILE GOC'!L82</f>
        <v>0</v>
      </c>
      <c r="L10" s="587" t="s">
        <v>9</v>
      </c>
      <c r="M10" s="907"/>
      <c r="N10" s="910" t="str">
        <f>IF(M10="","","+")</f>
        <v/>
      </c>
      <c r="O10" s="1588" t="str">
        <f>IF(M10=0,"",('XM.FILE GOC'!$G$82-M10)*8200/1000)</f>
        <v/>
      </c>
      <c r="P10" s="2895" t="str">
        <f>IF(O10="","","kg")</f>
        <v/>
      </c>
      <c r="Q10" s="1398">
        <f>'XM.FILE GOC'!P82</f>
        <v>61.908000000000001</v>
      </c>
      <c r="R10" s="58" t="s">
        <v>8</v>
      </c>
      <c r="S10" s="586">
        <f>'XM.FILE GOC'!S82</f>
        <v>0</v>
      </c>
      <c r="T10" s="587" t="s">
        <v>9</v>
      </c>
      <c r="U10" s="907"/>
      <c r="V10" s="910" t="str">
        <f>IF(U10="","","+")</f>
        <v/>
      </c>
      <c r="W10" s="1588" t="str">
        <f>IF(U10=0,"",('XM.FILE GOC'!$G$82-U10)*8200/1000)</f>
        <v/>
      </c>
      <c r="X10" s="2895" t="str">
        <f>IF(W10="","","kg")</f>
        <v/>
      </c>
      <c r="Y10" s="1398">
        <f>'XM.FILE GOC'!W82</f>
        <v>62.370000000000005</v>
      </c>
      <c r="Z10" s="58" t="s">
        <v>8</v>
      </c>
      <c r="AA10" s="586">
        <f>'XM.FILE GOC'!Z82</f>
        <v>0</v>
      </c>
      <c r="AB10" s="971" t="s">
        <v>9</v>
      </c>
      <c r="AC10" s="907"/>
      <c r="AD10" s="910" t="str">
        <f>IF(AC10="","","+")</f>
        <v/>
      </c>
      <c r="AE10" s="1588" t="str">
        <f>IF(AC10=0,"",('XM.FILE GOC'!$G$82-AC10)*8200/1000)</f>
        <v/>
      </c>
      <c r="AF10" s="2895" t="str">
        <f>IF(AE10="","","kg")</f>
        <v/>
      </c>
      <c r="AG10" s="69" t="s">
        <v>39</v>
      </c>
      <c r="AI10" s="2671"/>
      <c r="AJ10" s="2421" t="s">
        <v>2</v>
      </c>
      <c r="AK10" s="2422"/>
      <c r="AL10" s="2422"/>
      <c r="AM10" s="2422"/>
      <c r="AN10" s="2422"/>
      <c r="AO10" s="2422"/>
      <c r="AP10" s="2422"/>
      <c r="AQ10" s="2422"/>
      <c r="AR10" s="2422"/>
      <c r="AS10" s="2422"/>
      <c r="AT10" s="2422"/>
      <c r="AU10" s="2422"/>
      <c r="AV10" s="2422"/>
      <c r="AW10" s="2422"/>
      <c r="AX10" s="2422"/>
      <c r="AY10" s="2422"/>
      <c r="AZ10" s="2422"/>
      <c r="BA10" s="2422"/>
      <c r="BB10" s="2422"/>
      <c r="BC10" s="2422"/>
      <c r="BD10" s="2422"/>
      <c r="BE10" s="2422"/>
      <c r="BF10" s="2422"/>
      <c r="BG10" s="2422"/>
      <c r="BH10" s="2422"/>
      <c r="BI10" s="2422"/>
      <c r="BJ10" s="2422"/>
      <c r="BK10" s="2422"/>
      <c r="BL10" s="2422"/>
      <c r="BM10" s="2422"/>
      <c r="BN10" s="2422"/>
      <c r="BO10" s="2423"/>
    </row>
    <row r="11" spans="1:67" ht="42" customHeight="1">
      <c r="A11" s="3255"/>
      <c r="B11" s="3163"/>
      <c r="C11" s="3163"/>
      <c r="D11" s="3256" t="s">
        <v>232</v>
      </c>
      <c r="E11" s="3257" t="s">
        <v>232</v>
      </c>
      <c r="F11" s="1004"/>
      <c r="G11" s="897" t="s">
        <v>1656</v>
      </c>
      <c r="H11" s="2202"/>
      <c r="I11" s="2191"/>
      <c r="J11" s="58"/>
      <c r="K11" s="952">
        <f>K10/25*8</f>
        <v>0</v>
      </c>
      <c r="L11" s="587" t="s">
        <v>10</v>
      </c>
      <c r="M11" s="907"/>
      <c r="N11" s="910" t="str">
        <f>IF(M10="","","+")</f>
        <v/>
      </c>
      <c r="O11" s="1586" t="str">
        <f>IF(M10=0,"",O10/25*8)</f>
        <v/>
      </c>
      <c r="P11" s="2895" t="str">
        <f>IF(O10="","","L")</f>
        <v/>
      </c>
      <c r="Q11" s="1676"/>
      <c r="R11" s="58"/>
      <c r="S11" s="952">
        <f>S10/25*8</f>
        <v>0</v>
      </c>
      <c r="T11" s="587" t="s">
        <v>10</v>
      </c>
      <c r="U11" s="907"/>
      <c r="V11" s="910" t="str">
        <f>IF(U10="","","+")</f>
        <v/>
      </c>
      <c r="W11" s="1586" t="str">
        <f>IF(U10=0,"",W10/25*8)</f>
        <v/>
      </c>
      <c r="X11" s="2895" t="str">
        <f>IF(W10="","","L")</f>
        <v/>
      </c>
      <c r="Y11" s="1676"/>
      <c r="Z11" s="58"/>
      <c r="AA11" s="952">
        <f>AA10/25*8</f>
        <v>0</v>
      </c>
      <c r="AB11" s="587" t="s">
        <v>10</v>
      </c>
      <c r="AC11" s="907"/>
      <c r="AD11" s="910" t="str">
        <f>IF(AC10="","","+")</f>
        <v/>
      </c>
      <c r="AE11" s="1586" t="str">
        <f>IF(AC10=0,"",AE10/25*8)</f>
        <v/>
      </c>
      <c r="AF11" s="2895" t="str">
        <f>IF(AE10="","","L")</f>
        <v/>
      </c>
      <c r="AG11" s="69"/>
      <c r="AI11" s="2671"/>
      <c r="AJ11" s="3310" t="s">
        <v>948</v>
      </c>
      <c r="AK11" s="3311"/>
      <c r="AL11" s="3311"/>
      <c r="AM11" s="3312"/>
      <c r="AN11" s="2670" t="s">
        <v>949</v>
      </c>
      <c r="AO11" s="2670" t="s">
        <v>1296</v>
      </c>
      <c r="AP11" s="2204" t="s">
        <v>1289</v>
      </c>
      <c r="AQ11" s="3227" t="s">
        <v>950</v>
      </c>
      <c r="AR11" s="3228"/>
      <c r="AS11" s="3229" t="s">
        <v>951</v>
      </c>
      <c r="AT11" s="3228"/>
      <c r="AU11" s="917"/>
      <c r="AV11" s="918"/>
      <c r="AW11" s="918"/>
      <c r="AX11" s="919"/>
      <c r="AY11" s="3229" t="s">
        <v>950</v>
      </c>
      <c r="AZ11" s="3228"/>
      <c r="BA11" s="3229" t="s">
        <v>951</v>
      </c>
      <c r="BB11" s="3228"/>
      <c r="BC11" s="917"/>
      <c r="BD11" s="918"/>
      <c r="BE11" s="918"/>
      <c r="BF11" s="919"/>
      <c r="BG11" s="3229" t="s">
        <v>950</v>
      </c>
      <c r="BH11" s="3228"/>
      <c r="BI11" s="3229" t="s">
        <v>951</v>
      </c>
      <c r="BJ11" s="3228"/>
      <c r="BK11" s="917"/>
      <c r="BL11" s="918"/>
      <c r="BM11" s="918"/>
      <c r="BN11" s="919"/>
      <c r="BO11" s="10"/>
    </row>
    <row r="12" spans="1:67" ht="42" customHeight="1">
      <c r="A12" s="3249">
        <v>4</v>
      </c>
      <c r="B12" s="3162" t="s">
        <v>943</v>
      </c>
      <c r="C12" s="3163"/>
      <c r="D12" s="3256" t="s">
        <v>231</v>
      </c>
      <c r="E12" s="3257" t="s">
        <v>231</v>
      </c>
      <c r="F12" s="2881" t="s">
        <v>4</v>
      </c>
      <c r="G12" s="897" t="str">
        <f>'[6]XM.GUI MAIL'!$E$84</f>
        <v>50~70</v>
      </c>
      <c r="H12" s="2202" t="str">
        <f>'XM.FILE GOC'!$F$84</f>
        <v>(60±5)</v>
      </c>
      <c r="I12" s="2205">
        <f>'XM.FILE GOC'!I84</f>
        <v>59.598000000000006</v>
      </c>
      <c r="J12" s="969" t="s">
        <v>8</v>
      </c>
      <c r="K12" s="970">
        <f>'XM.FILE GOC'!L84</f>
        <v>3.4845359999999475</v>
      </c>
      <c r="L12" s="971" t="s">
        <v>9</v>
      </c>
      <c r="M12" s="907">
        <v>60.3</v>
      </c>
      <c r="N12" s="910" t="str">
        <f>IF(M12="","","+")</f>
        <v>+</v>
      </c>
      <c r="O12" s="1589">
        <f>IF(M12=0,"",('XM.FILE GOC'!$G$84-M12)*8668/1000)</f>
        <v>-2.6003999999999756</v>
      </c>
      <c r="P12" s="2895" t="str">
        <f>IF(O12="","","kg")</f>
        <v>kg</v>
      </c>
      <c r="Q12" s="1398">
        <f>'XM.FILE GOC'!P84</f>
        <v>60.753</v>
      </c>
      <c r="R12" s="969" t="s">
        <v>8</v>
      </c>
      <c r="S12" s="970">
        <f>'XM.FILE GOC'!S84</f>
        <v>0</v>
      </c>
      <c r="T12" s="971" t="s">
        <v>9</v>
      </c>
      <c r="U12" s="907"/>
      <c r="V12" s="910" t="str">
        <f>IF(U12="","","+")</f>
        <v/>
      </c>
      <c r="W12" s="1589" t="str">
        <f>IF(U12=0,"",('XM.FILE GOC'!$G$84-U12)*8668/1000)</f>
        <v/>
      </c>
      <c r="X12" s="2895" t="str">
        <f>IF(W12="","","kg")</f>
        <v/>
      </c>
      <c r="Y12" s="1398">
        <f>'XM.FILE GOC'!W84</f>
        <v>61.215000000000003</v>
      </c>
      <c r="Z12" s="969" t="s">
        <v>8</v>
      </c>
      <c r="AA12" s="970">
        <f>'XM.FILE GOC'!Z84</f>
        <v>0</v>
      </c>
      <c r="AB12" s="971" t="s">
        <v>9</v>
      </c>
      <c r="AC12" s="907"/>
      <c r="AD12" s="910" t="str">
        <f>IF(AC12="","","+")</f>
        <v/>
      </c>
      <c r="AE12" s="1589" t="str">
        <f>IF(AC12=0,"",('XM.FILE GOC'!$G$84-AC12)*8668/1000)</f>
        <v/>
      </c>
      <c r="AF12" s="2895" t="str">
        <f>IF(AE12="","","kg")</f>
        <v/>
      </c>
      <c r="AG12" s="69" t="s">
        <v>39</v>
      </c>
      <c r="AI12" s="2671">
        <v>5</v>
      </c>
      <c r="AJ12" s="3306" t="s">
        <v>116</v>
      </c>
      <c r="AK12" s="3307"/>
      <c r="AL12" s="3307"/>
      <c r="AM12" s="3308"/>
      <c r="AN12" s="2050" t="s">
        <v>26</v>
      </c>
      <c r="AO12" s="2051" t="str">
        <f>'XM.GUI MAIL'!$E$117</f>
        <v>24~28</v>
      </c>
      <c r="AP12" s="2219" t="str">
        <f>'XM.GUI MAIL'!$F$117</f>
        <v>(26±2)</v>
      </c>
      <c r="AQ12" s="3309">
        <f>'XM.FILE GOC'!I117</f>
        <v>0</v>
      </c>
      <c r="AR12" s="3108"/>
      <c r="AS12" s="3107">
        <f>'XM.FILE GOC'!L117</f>
        <v>0</v>
      </c>
      <c r="AT12" s="3108"/>
      <c r="AU12" s="920"/>
      <c r="AV12" s="921"/>
      <c r="AW12" s="921"/>
      <c r="AX12" s="922"/>
      <c r="AY12" s="3107">
        <f>'XM.FILE GOC'!P117</f>
        <v>0</v>
      </c>
      <c r="AZ12" s="3108"/>
      <c r="BA12" s="3107">
        <f>'XM.FILE GOC'!S117</f>
        <v>0</v>
      </c>
      <c r="BB12" s="3108"/>
      <c r="BC12" s="920"/>
      <c r="BD12" s="921"/>
      <c r="BE12" s="921"/>
      <c r="BF12" s="922"/>
      <c r="BG12" s="3107">
        <f>'XM.FILE GOC'!W117</f>
        <v>0</v>
      </c>
      <c r="BH12" s="3108"/>
      <c r="BI12" s="3107">
        <f>'XM.FILE GOC'!Z117</f>
        <v>0</v>
      </c>
      <c r="BJ12" s="3108"/>
      <c r="BK12" s="920"/>
      <c r="BL12" s="921"/>
      <c r="BM12" s="921"/>
      <c r="BN12" s="922"/>
      <c r="BO12" s="73"/>
    </row>
    <row r="13" spans="1:67" ht="42" customHeight="1">
      <c r="A13" s="3255"/>
      <c r="B13" s="3267"/>
      <c r="C13" s="3267"/>
      <c r="D13" s="3256" t="s">
        <v>232</v>
      </c>
      <c r="E13" s="3257" t="s">
        <v>232</v>
      </c>
      <c r="F13" s="1004"/>
      <c r="G13" s="897" t="s">
        <v>1656</v>
      </c>
      <c r="H13" s="2202"/>
      <c r="I13" s="2191"/>
      <c r="J13" s="58"/>
      <c r="K13" s="952">
        <f>K12/25*8</f>
        <v>1.1150515199999831</v>
      </c>
      <c r="L13" s="587" t="s">
        <v>10</v>
      </c>
      <c r="M13" s="907"/>
      <c r="N13" s="910" t="str">
        <f>IF(M12="","","+")</f>
        <v>+</v>
      </c>
      <c r="O13" s="1586">
        <f>IF(M12=0,"",O12/25*8)</f>
        <v>-0.83212799999999221</v>
      </c>
      <c r="P13" s="2895" t="str">
        <f>IF(O12="","","L")</f>
        <v>L</v>
      </c>
      <c r="Q13" s="1676"/>
      <c r="R13" s="58"/>
      <c r="S13" s="952">
        <f>S12/25*8</f>
        <v>0</v>
      </c>
      <c r="T13" s="587" t="s">
        <v>10</v>
      </c>
      <c r="U13" s="907"/>
      <c r="V13" s="910" t="str">
        <f>IF(U12="","","+")</f>
        <v/>
      </c>
      <c r="W13" s="1586" t="str">
        <f>IF(U12=0,"",W12/25*8)</f>
        <v/>
      </c>
      <c r="X13" s="2895" t="str">
        <f>IF(W12="","","L")</f>
        <v/>
      </c>
      <c r="Y13" s="1676"/>
      <c r="Z13" s="58"/>
      <c r="AA13" s="952">
        <f>AA12/25*8</f>
        <v>0</v>
      </c>
      <c r="AB13" s="587" t="s">
        <v>10</v>
      </c>
      <c r="AC13" s="907"/>
      <c r="AD13" s="910" t="str">
        <f>IF(AC12="","","+")</f>
        <v/>
      </c>
      <c r="AE13" s="1586" t="str">
        <f>IF(AC12=0,"",AE12/25*8)</f>
        <v/>
      </c>
      <c r="AF13" s="2895" t="str">
        <f>IF(AE12="","","L")</f>
        <v/>
      </c>
      <c r="AG13" s="69"/>
      <c r="AI13" s="1575">
        <v>6</v>
      </c>
      <c r="AJ13" s="3306" t="s">
        <v>120</v>
      </c>
      <c r="AK13" s="3307"/>
      <c r="AL13" s="3307"/>
      <c r="AM13" s="3308"/>
      <c r="AN13" s="2050" t="s">
        <v>26</v>
      </c>
      <c r="AO13" s="2051" t="str">
        <f>'XM.GUI MAIL'!$E$118</f>
        <v>20~30</v>
      </c>
      <c r="AP13" s="2219" t="str">
        <f>'XM.GUI MAIL'!$F$118</f>
        <v>(25±5)</v>
      </c>
      <c r="AQ13" s="3309">
        <f>'XM.FILE GOC'!I118</f>
        <v>0</v>
      </c>
      <c r="AR13" s="3108"/>
      <c r="AS13" s="3107">
        <f>'XM.FILE GOC'!L118</f>
        <v>0</v>
      </c>
      <c r="AT13" s="3313"/>
      <c r="AU13" s="2178"/>
      <c r="AV13" s="924"/>
      <c r="AW13" s="924"/>
      <c r="AX13" s="925"/>
      <c r="AY13" s="3107">
        <f>'XM.FILE GOC'!P118</f>
        <v>0</v>
      </c>
      <c r="AZ13" s="3108"/>
      <c r="BA13" s="3107">
        <f>'XM.FILE GOC'!S118</f>
        <v>0</v>
      </c>
      <c r="BB13" s="3313"/>
      <c r="BC13" s="2178"/>
      <c r="BD13" s="924"/>
      <c r="BE13" s="924"/>
      <c r="BF13" s="925"/>
      <c r="BG13" s="3107">
        <f>'XM.FILE GOC'!W118</f>
        <v>0</v>
      </c>
      <c r="BH13" s="3108"/>
      <c r="BI13" s="3283">
        <f>'XM.FILE GOC'!Z118</f>
        <v>0</v>
      </c>
      <c r="BJ13" s="3283"/>
      <c r="BK13" s="924"/>
      <c r="BL13" s="924"/>
      <c r="BM13" s="924"/>
      <c r="BN13" s="925"/>
      <c r="BO13" s="2669"/>
    </row>
    <row r="14" spans="1:67" ht="42" customHeight="1">
      <c r="A14" s="3249">
        <v>5</v>
      </c>
      <c r="B14" s="3274" t="s">
        <v>1662</v>
      </c>
      <c r="C14" s="3268" t="s">
        <v>945</v>
      </c>
      <c r="D14" s="3269"/>
      <c r="E14" s="3270"/>
      <c r="F14" s="2827" t="s">
        <v>4</v>
      </c>
      <c r="G14" s="2010" t="str">
        <f>'XM.FILE GOC'!$E$86</f>
        <v>135~ 145</v>
      </c>
      <c r="H14" s="2828" t="str">
        <f>'XM.FILE GOC'!$F$86</f>
        <v>(140±5)</v>
      </c>
      <c r="I14" s="2207">
        <f>'XM.FILE GOC'!I86</f>
        <v>142.4</v>
      </c>
      <c r="J14" s="969" t="s">
        <v>8</v>
      </c>
      <c r="K14" s="970">
        <f>'XM.FILE GOC'!L86</f>
        <v>0</v>
      </c>
      <c r="L14" s="971" t="s">
        <v>9</v>
      </c>
      <c r="M14" s="907"/>
      <c r="N14" s="910" t="str">
        <f>IF(M14="","","+")</f>
        <v/>
      </c>
      <c r="O14" s="1589" t="str">
        <f>IF(M14="","",('XM.FILE GOC'!$G$86-M14)*53066/1000)</f>
        <v/>
      </c>
      <c r="P14" s="2895" t="str">
        <f>IF(O14="","","kg")</f>
        <v/>
      </c>
      <c r="Q14" s="77">
        <f>'XM.FILE GOC'!P86</f>
        <v>143.19999999999999</v>
      </c>
      <c r="R14" s="969" t="s">
        <v>8</v>
      </c>
      <c r="S14" s="970">
        <f>'XM.FILE GOC'!S86</f>
        <v>0</v>
      </c>
      <c r="T14" s="971" t="s">
        <v>9</v>
      </c>
      <c r="U14" s="907"/>
      <c r="V14" s="910" t="str">
        <f>IF(U14="","","+")</f>
        <v/>
      </c>
      <c r="W14" s="1589" t="str">
        <f>IF(U14="","",('XM.FILE GOC'!$G$86-U14)*53066/1000)</f>
        <v/>
      </c>
      <c r="X14" s="2895" t="str">
        <f>IF(W14="","","kg")</f>
        <v/>
      </c>
      <c r="Y14" s="77">
        <f>'XM.FILE GOC'!W86</f>
        <v>138.80000000000001</v>
      </c>
      <c r="Z14" s="969" t="s">
        <v>8</v>
      </c>
      <c r="AA14" s="970">
        <f>'XM.FILE GOC'!Z86</f>
        <v>63.679199999999391</v>
      </c>
      <c r="AB14" s="971" t="s">
        <v>9</v>
      </c>
      <c r="AC14" s="907">
        <v>140</v>
      </c>
      <c r="AD14" s="910" t="str">
        <f>IF(AC14="","","+")</f>
        <v>+</v>
      </c>
      <c r="AE14" s="1589">
        <f>IF(AC14="","",('XM.FILE GOC'!$G$86-AC14)*53066/1000)</f>
        <v>0</v>
      </c>
      <c r="AF14" s="2895" t="str">
        <f>IF(AE14="","","kg")</f>
        <v>kg</v>
      </c>
      <c r="AG14" s="69" t="s">
        <v>40</v>
      </c>
      <c r="AI14" s="977"/>
      <c r="AJ14" s="898"/>
      <c r="AK14" s="898"/>
      <c r="AL14" s="898"/>
      <c r="AM14" s="898"/>
      <c r="AN14" s="978"/>
      <c r="AO14" s="978"/>
      <c r="AP14" s="978"/>
      <c r="AQ14" s="978"/>
      <c r="AR14" s="978"/>
      <c r="AS14" s="978"/>
      <c r="AT14" s="978"/>
      <c r="AU14" s="943"/>
      <c r="AV14" s="943"/>
      <c r="AW14" s="943"/>
      <c r="AX14" s="943"/>
      <c r="AY14" s="978"/>
      <c r="AZ14" s="978"/>
      <c r="BA14" s="978"/>
      <c r="BB14" s="978"/>
      <c r="BC14" s="943"/>
      <c r="BD14" s="943"/>
      <c r="BE14" s="943"/>
      <c r="BF14" s="943"/>
      <c r="BG14" s="978"/>
      <c r="BH14" s="978"/>
      <c r="BI14" s="978"/>
      <c r="BJ14" s="978"/>
      <c r="BK14" s="943"/>
      <c r="BL14" s="943"/>
      <c r="BM14" s="943"/>
      <c r="BN14" s="943"/>
      <c r="BO14" s="61"/>
    </row>
    <row r="15" spans="1:67" ht="42" customHeight="1">
      <c r="A15" s="3255"/>
      <c r="B15" s="3275"/>
      <c r="C15" s="3268" t="s">
        <v>946</v>
      </c>
      <c r="D15" s="3269"/>
      <c r="E15" s="3270"/>
      <c r="F15" s="2827" t="s">
        <v>4</v>
      </c>
      <c r="G15" s="2010" t="str">
        <f>'XM.FILE GOC'!$E$87</f>
        <v>7~10</v>
      </c>
      <c r="H15" s="2828" t="str">
        <f>'XM.FILE GOC'!$F$87</f>
        <v>(8.5±1)</v>
      </c>
      <c r="I15" s="2208">
        <f>'XM.FILE GOC'!I87</f>
        <v>8.3849999999999998</v>
      </c>
      <c r="J15" s="969" t="s">
        <v>8</v>
      </c>
      <c r="K15" s="970">
        <f>'XM.FILE GOC'!L87</f>
        <v>6.1025900000000108</v>
      </c>
      <c r="L15" s="971" t="s">
        <v>9</v>
      </c>
      <c r="M15" s="907">
        <v>8.4</v>
      </c>
      <c r="N15" s="910" t="str">
        <f t="shared" ref="N15:N16" si="0">IF(M15="","","+")</f>
        <v>+</v>
      </c>
      <c r="O15" s="1589">
        <f>IF(M15="","",('XM.FILE GOC'!$G$87-M15)*53066/1000)</f>
        <v>5.3065999999999809</v>
      </c>
      <c r="P15" s="2895" t="str">
        <f>IF(O15="","","kg")</f>
        <v>kg</v>
      </c>
      <c r="Q15" s="1922">
        <f>'XM.FILE GOC'!P87</f>
        <v>8.3849999999999998</v>
      </c>
      <c r="R15" s="969" t="s">
        <v>8</v>
      </c>
      <c r="S15" s="970">
        <f>'XM.FILE GOC'!S87</f>
        <v>6.1025900000000108</v>
      </c>
      <c r="T15" s="971" t="s">
        <v>9</v>
      </c>
      <c r="U15" s="907">
        <v>8.5</v>
      </c>
      <c r="V15" s="910" t="str">
        <f t="shared" ref="V15:V16" si="1">IF(U15="","","+")</f>
        <v>+</v>
      </c>
      <c r="W15" s="1589">
        <f>IF(U15="","",('XM.FILE GOC'!$G$87-U15)*53066/1000)</f>
        <v>0</v>
      </c>
      <c r="X15" s="2895" t="str">
        <f>IF(W15="","","kg")</f>
        <v>kg</v>
      </c>
      <c r="Y15" s="1922">
        <f>'XM.FILE GOC'!W87</f>
        <v>8.4500000000000011</v>
      </c>
      <c r="Z15" s="969" t="s">
        <v>8</v>
      </c>
      <c r="AA15" s="970">
        <f>'XM.FILE GOC'!Z87</f>
        <v>2.6532999999999434</v>
      </c>
      <c r="AB15" s="909" t="s">
        <v>9</v>
      </c>
      <c r="AC15" s="907">
        <v>8.6</v>
      </c>
      <c r="AD15" s="910" t="str">
        <f t="shared" ref="AD15:AD16" si="2">IF(AC15="","","+")</f>
        <v>+</v>
      </c>
      <c r="AE15" s="1589">
        <f>IF(AC15="","",('XM.FILE GOC'!$G$87-AC15)*53066/1000)</f>
        <v>-5.3065999999999809</v>
      </c>
      <c r="AF15" s="2895" t="str">
        <f>IF(AE15="","","kg")</f>
        <v>kg</v>
      </c>
      <c r="AG15" s="69" t="s">
        <v>41</v>
      </c>
    </row>
    <row r="16" spans="1:67" s="7" customFormat="1" ht="42" customHeight="1">
      <c r="A16" s="3249">
        <v>6</v>
      </c>
      <c r="B16" s="3258" t="s">
        <v>1646</v>
      </c>
      <c r="C16" s="3259"/>
      <c r="D16" s="3259"/>
      <c r="E16" s="3262"/>
      <c r="F16" s="2827" t="s">
        <v>3</v>
      </c>
      <c r="G16" s="2010" t="str">
        <f>'XM.FILE GOC'!$E$88</f>
        <v>5~8</v>
      </c>
      <c r="H16" s="2828" t="str">
        <f>'XM.FILE GOC'!$F$88</f>
        <v>(6±1)</v>
      </c>
      <c r="I16" s="2209">
        <f>'XM.FILE GOC'!I88</f>
        <v>6.7287950000000007</v>
      </c>
      <c r="J16" s="969" t="s">
        <v>8</v>
      </c>
      <c r="K16" s="970">
        <f>'XM.FILE GOC'!L88</f>
        <v>0</v>
      </c>
      <c r="L16" s="971" t="s">
        <v>10</v>
      </c>
      <c r="M16" s="1573"/>
      <c r="N16" s="910" t="str">
        <f t="shared" si="0"/>
        <v/>
      </c>
      <c r="O16" s="1588" t="str">
        <f>IF(M16="","",('XM.FILE GOC'!$G$88-M16)*3360/85)</f>
        <v/>
      </c>
      <c r="P16" s="2895" t="str">
        <f>IF(O16="","","L")</f>
        <v/>
      </c>
      <c r="Q16" s="594">
        <f>'XM.FILE GOC'!P88</f>
        <v>6.6864250000000007</v>
      </c>
      <c r="R16" s="969" t="s">
        <v>8</v>
      </c>
      <c r="S16" s="970">
        <f>'XM.FILE GOC'!S88</f>
        <v>0</v>
      </c>
      <c r="T16" s="971" t="s">
        <v>10</v>
      </c>
      <c r="U16" s="1573"/>
      <c r="V16" s="910" t="str">
        <f t="shared" si="1"/>
        <v/>
      </c>
      <c r="W16" s="1588" t="str">
        <f>IF(U16="","",('XM.FILE GOC'!$G$88-U16)*3360/85)</f>
        <v/>
      </c>
      <c r="X16" s="2895" t="str">
        <f>IF(W16="","","L")</f>
        <v/>
      </c>
      <c r="Y16" s="594">
        <f>'XM.FILE GOC'!W88</f>
        <v>6.6228700000000007</v>
      </c>
      <c r="Z16" s="969" t="s">
        <v>8</v>
      </c>
      <c r="AA16" s="970">
        <f>'XM.FILE GOC'!Z88</f>
        <v>0</v>
      </c>
      <c r="AB16" s="971" t="s">
        <v>10</v>
      </c>
      <c r="AC16" s="907"/>
      <c r="AD16" s="910" t="str">
        <f t="shared" si="2"/>
        <v/>
      </c>
      <c r="AE16" s="1588" t="str">
        <f>IF(AC16="","",('XM.FILE GOC'!$G$88-AC16)*3360/85)</f>
        <v/>
      </c>
      <c r="AF16" s="2895" t="str">
        <f>IF(AE16="","","L")</f>
        <v/>
      </c>
      <c r="AG16" s="69" t="s">
        <v>42</v>
      </c>
      <c r="AH16" s="944"/>
      <c r="AI16" s="979"/>
      <c r="AJ16" s="980"/>
      <c r="AK16" s="980"/>
      <c r="AL16" s="980"/>
      <c r="AM16" s="980"/>
      <c r="AN16" s="981"/>
      <c r="AO16" s="981"/>
      <c r="AP16" s="981"/>
      <c r="AQ16" s="981"/>
      <c r="AR16" s="981"/>
      <c r="AS16" s="981"/>
      <c r="AT16" s="981"/>
      <c r="AU16" s="944"/>
      <c r="AV16" s="944"/>
      <c r="AW16" s="944"/>
      <c r="AX16" s="944"/>
      <c r="AY16" s="981"/>
      <c r="AZ16" s="981"/>
      <c r="BA16" s="981"/>
      <c r="BB16" s="981"/>
      <c r="BC16" s="944"/>
      <c r="BD16" s="944"/>
      <c r="BE16" s="944"/>
      <c r="BF16" s="944"/>
      <c r="BG16" s="981"/>
      <c r="BH16" s="981"/>
      <c r="BI16" s="981"/>
      <c r="BJ16" s="981"/>
      <c r="BK16" s="944"/>
      <c r="BL16" s="944"/>
      <c r="BM16" s="944"/>
      <c r="BN16" s="944"/>
      <c r="BO16" s="8"/>
    </row>
    <row r="17" spans="1:67" ht="42" customHeight="1">
      <c r="A17" s="3255"/>
      <c r="B17" s="3260"/>
      <c r="C17" s="3261"/>
      <c r="D17" s="3261"/>
      <c r="E17" s="3263"/>
      <c r="F17" s="2827" t="s">
        <v>5</v>
      </c>
      <c r="G17" s="2010" t="str">
        <f>'XM.FILE GOC'!$E$89</f>
        <v>2.0~2.4</v>
      </c>
      <c r="H17" s="2828" t="str">
        <f>'XM.FILE GOC'!$F$89</f>
        <v>(2.2±0.1)</v>
      </c>
      <c r="I17" s="2230">
        <f>'XM.FILE GOC'!I89</f>
        <v>2.11</v>
      </c>
      <c r="J17" s="1369"/>
      <c r="K17" s="1370"/>
      <c r="L17" s="1371"/>
      <c r="M17" s="1573"/>
      <c r="N17" s="912"/>
      <c r="O17" s="935"/>
      <c r="P17" s="913"/>
      <c r="Q17" s="2228">
        <f>'XM.FILE GOC'!P89</f>
        <v>2.1</v>
      </c>
      <c r="R17" s="1369"/>
      <c r="S17" s="1370"/>
      <c r="T17" s="1371"/>
      <c r="U17" s="1573"/>
      <c r="V17" s="912"/>
      <c r="W17" s="935"/>
      <c r="X17" s="913"/>
      <c r="Y17" s="2228">
        <f>'XM.FILE GOC'!W89</f>
        <v>2.14</v>
      </c>
      <c r="Z17" s="969"/>
      <c r="AA17" s="970"/>
      <c r="AB17" s="971"/>
      <c r="AC17" s="907"/>
      <c r="AD17" s="912"/>
      <c r="AE17" s="935"/>
      <c r="AF17" s="913"/>
      <c r="AG17" s="70"/>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42" customHeight="1">
      <c r="A18" s="2454">
        <v>7</v>
      </c>
      <c r="B18" s="3239" t="s">
        <v>1592</v>
      </c>
      <c r="C18" s="3240"/>
      <c r="D18" s="3240"/>
      <c r="E18" s="3241"/>
      <c r="F18" s="632" t="s">
        <v>6</v>
      </c>
      <c r="G18" s="897" t="str">
        <f>'XM.FILE GOC'!$E$90</f>
        <v>40~50</v>
      </c>
      <c r="H18" s="2202" t="str">
        <f>'XM.FILE GOC'!$F$90</f>
        <v>(45±5)</v>
      </c>
      <c r="I18" s="1747">
        <f>'XM.FILE GOC'!I90</f>
        <v>0.44500000000000001</v>
      </c>
      <c r="J18" s="969" t="s">
        <v>8</v>
      </c>
      <c r="K18" s="970">
        <f>'XM.FILE GOC'!L90</f>
        <v>16.170000000000016</v>
      </c>
      <c r="L18" s="971" t="s">
        <v>10</v>
      </c>
      <c r="M18" s="914">
        <v>0.45500000000000002</v>
      </c>
      <c r="N18" s="910" t="str">
        <f t="shared" ref="N18:N25" si="3">IF(M18="","","+")</f>
        <v>+</v>
      </c>
      <c r="O18" s="935">
        <f>IF(M18="","",('XM.FILE GOC'!$G$90-M18)*3234)</f>
        <v>-16.170000000000016</v>
      </c>
      <c r="P18" s="2895" t="str">
        <f t="shared" ref="P18:P23" si="4">IF(O18="","","L")</f>
        <v>L</v>
      </c>
      <c r="Q18" s="1747">
        <f>'XM.FILE GOC'!P90</f>
        <v>0.45624999999999999</v>
      </c>
      <c r="R18" s="969" t="s">
        <v>8</v>
      </c>
      <c r="S18" s="970">
        <f>'XM.FILE GOC'!S90</f>
        <v>0</v>
      </c>
      <c r="T18" s="971" t="s">
        <v>10</v>
      </c>
      <c r="U18" s="914"/>
      <c r="V18" s="910" t="str">
        <f t="shared" ref="V18:V25" si="5">IF(U18="","","+")</f>
        <v/>
      </c>
      <c r="W18" s="935" t="str">
        <f>IF(U18="","",('XM.FILE GOC'!$G$90-U18)*3234)</f>
        <v/>
      </c>
      <c r="X18" s="2895" t="str">
        <f t="shared" ref="X18:X23" si="6">IF(W18="","","L")</f>
        <v/>
      </c>
      <c r="Y18" s="1747">
        <f>'XM.FILE GOC'!W90</f>
        <v>0.49274999999999997</v>
      </c>
      <c r="Z18" s="969" t="s">
        <v>8</v>
      </c>
      <c r="AA18" s="970">
        <f>'XM.FILE GOC'!Z90</f>
        <v>0</v>
      </c>
      <c r="AB18" s="971" t="s">
        <v>10</v>
      </c>
      <c r="AC18" s="914"/>
      <c r="AD18" s="910" t="str">
        <f t="shared" ref="AD18:AD25" si="7">IF(AC18="","","+")</f>
        <v/>
      </c>
      <c r="AE18" s="935" t="str">
        <f>IF(AC18="","",('XM.FILE GOC'!$G$90-AC18)*3234)</f>
        <v/>
      </c>
      <c r="AF18" s="2895" t="str">
        <f t="shared" ref="AF18:AF23" si="8">IF(AE18="","","L")</f>
        <v/>
      </c>
      <c r="AG18" s="2446" t="s">
        <v>44</v>
      </c>
    </row>
    <row r="19" spans="1:67" ht="42" customHeight="1">
      <c r="A19" s="972">
        <v>8</v>
      </c>
      <c r="B19" s="3264" t="s">
        <v>1586</v>
      </c>
      <c r="C19" s="3265"/>
      <c r="D19" s="3265"/>
      <c r="E19" s="3266"/>
      <c r="F19" s="632" t="s">
        <v>6</v>
      </c>
      <c r="G19" s="897" t="str">
        <f>'XM.FILE GOC'!$E$91</f>
        <v>10~20</v>
      </c>
      <c r="H19" s="2202" t="str">
        <f>'XM.FILE GOC'!$F$91</f>
        <v>(15±5)</v>
      </c>
      <c r="I19" s="1736">
        <f>'XM.FILE GOC'!I91</f>
        <v>0.156</v>
      </c>
      <c r="J19" s="969" t="s">
        <v>8</v>
      </c>
      <c r="K19" s="970">
        <f>'XM.FILE GOC'!L91</f>
        <v>0</v>
      </c>
      <c r="L19" s="971" t="s">
        <v>10</v>
      </c>
      <c r="M19" s="914"/>
      <c r="N19" s="910" t="str">
        <f t="shared" si="3"/>
        <v/>
      </c>
      <c r="O19" s="1588" t="str">
        <f>IF(M19="","",('XM.FILE GOC'!$G$91-M19)*3361)</f>
        <v/>
      </c>
      <c r="P19" s="2895" t="str">
        <f t="shared" si="4"/>
        <v/>
      </c>
      <c r="Q19" s="1736">
        <f>'XM.FILE GOC'!P91</f>
        <v>0.152</v>
      </c>
      <c r="R19" s="969" t="s">
        <v>8</v>
      </c>
      <c r="S19" s="970">
        <f>'XM.FILE GOC'!S91</f>
        <v>0</v>
      </c>
      <c r="T19" s="971" t="s">
        <v>10</v>
      </c>
      <c r="U19" s="914"/>
      <c r="V19" s="910" t="str">
        <f t="shared" si="5"/>
        <v/>
      </c>
      <c r="W19" s="1588" t="str">
        <f>IF(U19="","",('XM.FILE GOC'!$G$91-U19)*3361)</f>
        <v/>
      </c>
      <c r="X19" s="2895" t="str">
        <f t="shared" si="6"/>
        <v/>
      </c>
      <c r="Y19" s="1736">
        <f>'XM.FILE GOC'!W91</f>
        <v>0.14599999999999999</v>
      </c>
      <c r="Z19" s="969" t="s">
        <v>8</v>
      </c>
      <c r="AA19" s="970">
        <f>'XM.FILE GOC'!Z91</f>
        <v>13.444000000000011</v>
      </c>
      <c r="AB19" s="971" t="s">
        <v>10</v>
      </c>
      <c r="AC19" s="914">
        <v>0.16500000000000001</v>
      </c>
      <c r="AD19" s="910" t="str">
        <f t="shared" si="7"/>
        <v>+</v>
      </c>
      <c r="AE19" s="1588">
        <f>IF(AC19="","",('XM.FILE GOC'!$G$91-AC19)*3361)</f>
        <v>-50.415000000000042</v>
      </c>
      <c r="AF19" s="2895" t="str">
        <f t="shared" si="8"/>
        <v>L</v>
      </c>
      <c r="AG19" s="69" t="s">
        <v>43</v>
      </c>
    </row>
    <row r="20" spans="1:67" ht="42" customHeight="1">
      <c r="A20" s="2454">
        <v>9</v>
      </c>
      <c r="B20" s="3239" t="s">
        <v>1584</v>
      </c>
      <c r="C20" s="3240"/>
      <c r="D20" s="3240"/>
      <c r="E20" s="3241"/>
      <c r="F20" s="632" t="s">
        <v>6</v>
      </c>
      <c r="G20" s="897" t="str">
        <f>'XM.FILE GOC'!$E$92</f>
        <v>40~50</v>
      </c>
      <c r="H20" s="2202" t="str">
        <f>'XM.FILE GOC'!$F$92</f>
        <v>(45±5)</v>
      </c>
      <c r="I20" s="1747">
        <f>'XM.FILE GOC'!I92</f>
        <v>0.44712499999999994</v>
      </c>
      <c r="J20" s="969" t="s">
        <v>8</v>
      </c>
      <c r="K20" s="970">
        <f>'XM.FILE GOC'!L92</f>
        <v>9.6628750000002412</v>
      </c>
      <c r="L20" s="971" t="s">
        <v>10</v>
      </c>
      <c r="M20" s="914">
        <v>0.46500000000000002</v>
      </c>
      <c r="N20" s="910" t="str">
        <f t="shared" si="3"/>
        <v>+</v>
      </c>
      <c r="O20" s="1588">
        <f>IF(M20="","",('XM.FILE GOC'!$G$92-M20)*3361)</f>
        <v>-50.415000000000042</v>
      </c>
      <c r="P20" s="2895" t="str">
        <f t="shared" si="4"/>
        <v>L</v>
      </c>
      <c r="Q20" s="1747">
        <f>'XM.FILE GOC'!P92</f>
        <v>0.46993750000000001</v>
      </c>
      <c r="R20" s="969" t="s">
        <v>8</v>
      </c>
      <c r="S20" s="970">
        <f>'XM.FILE GOC'!S92</f>
        <v>0</v>
      </c>
      <c r="T20" s="971" t="s">
        <v>10</v>
      </c>
      <c r="U20" s="914"/>
      <c r="V20" s="910" t="str">
        <f t="shared" si="5"/>
        <v/>
      </c>
      <c r="W20" s="1588" t="str">
        <f>IF(U20="","",('XM.FILE GOC'!$G$92-U20)*3361)</f>
        <v/>
      </c>
      <c r="X20" s="2895" t="str">
        <f t="shared" si="6"/>
        <v/>
      </c>
      <c r="Y20" s="1747">
        <f>'XM.FILE GOC'!W92</f>
        <v>0.48362500000000003</v>
      </c>
      <c r="Z20" s="969" t="s">
        <v>8</v>
      </c>
      <c r="AA20" s="970">
        <f>'XM.FILE GOC'!Z92</f>
        <v>0</v>
      </c>
      <c r="AB20" s="971" t="s">
        <v>10</v>
      </c>
      <c r="AC20" s="914"/>
      <c r="AD20" s="910" t="str">
        <f t="shared" si="7"/>
        <v/>
      </c>
      <c r="AE20" s="1588" t="str">
        <f>IF(AC20="","",('XM.FILE GOC'!$G$92-AC20)*3361)</f>
        <v/>
      </c>
      <c r="AF20" s="2895" t="str">
        <f t="shared" si="8"/>
        <v/>
      </c>
      <c r="AG20" s="2446" t="s">
        <v>43</v>
      </c>
    </row>
    <row r="21" spans="1:67" ht="42" customHeight="1">
      <c r="A21" s="2671">
        <v>10</v>
      </c>
      <c r="B21" s="3236" t="s">
        <v>1585</v>
      </c>
      <c r="C21" s="3237"/>
      <c r="D21" s="3237"/>
      <c r="E21" s="3238"/>
      <c r="F21" s="632" t="s">
        <v>6</v>
      </c>
      <c r="G21" s="897" t="str">
        <f>'XM.FILE GOC'!$E$93</f>
        <v>40~50</v>
      </c>
      <c r="H21" s="2202" t="str">
        <f>'XM.FILE GOC'!$F$93</f>
        <v>(45±5)</v>
      </c>
      <c r="I21" s="1747">
        <f>'XM.FILE GOC'!I93</f>
        <v>0.45168749999999996</v>
      </c>
      <c r="J21" s="969" t="s">
        <v>8</v>
      </c>
      <c r="K21" s="970">
        <f>'XM.FILE GOC'!L93</f>
        <v>0</v>
      </c>
      <c r="L21" s="971" t="s">
        <v>10</v>
      </c>
      <c r="M21" s="914"/>
      <c r="N21" s="910" t="str">
        <f t="shared" si="3"/>
        <v/>
      </c>
      <c r="O21" s="1588" t="str">
        <f>IF(M21="","",('XM.FILE GOC'!$G$93-M21)*10509)</f>
        <v/>
      </c>
      <c r="P21" s="2895" t="str">
        <f t="shared" si="4"/>
        <v/>
      </c>
      <c r="Q21" s="1747">
        <f>'XM.FILE GOC'!P93</f>
        <v>0.45624999999999999</v>
      </c>
      <c r="R21" s="969" t="s">
        <v>8</v>
      </c>
      <c r="S21" s="970">
        <f>'XM.FILE GOC'!S93</f>
        <v>0</v>
      </c>
      <c r="T21" s="971" t="s">
        <v>10</v>
      </c>
      <c r="U21" s="914"/>
      <c r="V21" s="910" t="str">
        <f t="shared" si="5"/>
        <v/>
      </c>
      <c r="W21" s="1588" t="str">
        <f>IF(U21="","",('XM.FILE GOC'!$G$93-U21)*10509)</f>
        <v/>
      </c>
      <c r="X21" s="2895" t="str">
        <f t="shared" si="6"/>
        <v/>
      </c>
      <c r="Y21" s="1747">
        <f>'XM.FILE GOC'!W93</f>
        <v>0.45624999999999999</v>
      </c>
      <c r="Z21" s="969" t="s">
        <v>8</v>
      </c>
      <c r="AA21" s="970">
        <f>'XM.FILE GOC'!Z93</f>
        <v>0</v>
      </c>
      <c r="AB21" s="971" t="s">
        <v>10</v>
      </c>
      <c r="AC21" s="914"/>
      <c r="AD21" s="910" t="str">
        <f t="shared" si="7"/>
        <v/>
      </c>
      <c r="AE21" s="1588" t="str">
        <f>IF(AC21="","",('XM.FILE GOC'!$G$93-AC21)*10509)</f>
        <v/>
      </c>
      <c r="AF21" s="2895" t="str">
        <f t="shared" si="8"/>
        <v/>
      </c>
      <c r="AG21" s="68" t="s">
        <v>43</v>
      </c>
    </row>
    <row r="22" spans="1:67" ht="42" customHeight="1">
      <c r="A22" s="2454">
        <v>11</v>
      </c>
      <c r="B22" s="3264" t="s">
        <v>947</v>
      </c>
      <c r="C22" s="3265" t="s">
        <v>947</v>
      </c>
      <c r="D22" s="3265" t="s">
        <v>947</v>
      </c>
      <c r="E22" s="3266" t="s">
        <v>947</v>
      </c>
      <c r="F22" s="632" t="s">
        <v>6</v>
      </c>
      <c r="G22" s="897" t="str">
        <f>'XM.FILE GOC'!$E$94</f>
        <v>0.5~1.0</v>
      </c>
      <c r="H22" s="2202" t="str">
        <f>'XM.FILE GOC'!$F$94</f>
        <v>(0.7±0.1)</v>
      </c>
      <c r="I22" s="1767">
        <f>'XM.FILE GOC'!I94</f>
        <v>7.4340000000000005E-3</v>
      </c>
      <c r="J22" s="969" t="s">
        <v>8</v>
      </c>
      <c r="K22" s="973">
        <f>'XM.FILE GOC'!L94</f>
        <v>0</v>
      </c>
      <c r="L22" s="974" t="s">
        <v>10</v>
      </c>
      <c r="M22" s="1572"/>
      <c r="N22" s="910" t="str">
        <f t="shared" si="3"/>
        <v/>
      </c>
      <c r="O22" s="2400" t="str">
        <f>IF(M22="","",('XM.FILE GOC'!$G$94-M22)*2808)</f>
        <v/>
      </c>
      <c r="P22" s="2895" t="str">
        <f t="shared" si="4"/>
        <v/>
      </c>
      <c r="Q22" s="1767">
        <f>'XM.FILE GOC'!P94</f>
        <v>7.0559999999999998E-3</v>
      </c>
      <c r="R22" s="969" t="s">
        <v>8</v>
      </c>
      <c r="S22" s="973">
        <f>'XM.FILE GOC'!S94</f>
        <v>0</v>
      </c>
      <c r="T22" s="974" t="s">
        <v>10</v>
      </c>
      <c r="U22" s="1572"/>
      <c r="V22" s="910" t="str">
        <f t="shared" si="5"/>
        <v/>
      </c>
      <c r="W22" s="2400" t="str">
        <f>IF(U22="","",('XM.FILE GOC'!$G$94-U22)*2808)</f>
        <v/>
      </c>
      <c r="X22" s="2895" t="str">
        <f t="shared" si="6"/>
        <v/>
      </c>
      <c r="Y22" s="1767">
        <f>'XM.FILE GOC'!W94</f>
        <v>7.3080000000000003E-3</v>
      </c>
      <c r="Z22" s="969" t="s">
        <v>8</v>
      </c>
      <c r="AA22" s="973">
        <f>'XM.FILE GOC'!Z94</f>
        <v>0</v>
      </c>
      <c r="AB22" s="974" t="s">
        <v>10</v>
      </c>
      <c r="AC22" s="1572"/>
      <c r="AD22" s="910" t="str">
        <f t="shared" si="7"/>
        <v/>
      </c>
      <c r="AE22" s="2400" t="str">
        <f>IF(AC22="","",('XM.FILE GOC'!$G$94-AC22)*2808)</f>
        <v/>
      </c>
      <c r="AF22" s="2895" t="str">
        <f t="shared" si="8"/>
        <v/>
      </c>
      <c r="AG22" s="69" t="s">
        <v>44</v>
      </c>
    </row>
    <row r="23" spans="1:67" ht="42" customHeight="1">
      <c r="A23" s="2867">
        <v>12</v>
      </c>
      <c r="B23" s="3230" t="s">
        <v>1667</v>
      </c>
      <c r="C23" s="3231"/>
      <c r="D23" s="3231"/>
      <c r="E23" s="3232"/>
      <c r="F23" s="2829" t="s">
        <v>3</v>
      </c>
      <c r="G23" s="2010" t="str">
        <f>'XM.GUI MAIL'!$E$95</f>
        <v>5~8</v>
      </c>
      <c r="H23" s="2828" t="str">
        <f>'XM.GUI MAIL'!$F$95</f>
        <v>(6±0.5)</v>
      </c>
      <c r="I23" s="1833">
        <f>'XM.FILE GOC'!I95</f>
        <v>5.76</v>
      </c>
      <c r="J23" s="969" t="s">
        <v>8</v>
      </c>
      <c r="K23" s="970">
        <f>'XM.FILE GOC'!L95</f>
        <v>8.9860042105263229</v>
      </c>
      <c r="L23" s="974" t="s">
        <v>10</v>
      </c>
      <c r="M23" s="2236">
        <v>5.8</v>
      </c>
      <c r="N23" s="910" t="str">
        <f t="shared" si="3"/>
        <v>+</v>
      </c>
      <c r="O23" s="935">
        <f>IF(M23="","",('XM.FILE GOC'!$G$95-M23)*4042/95*1.028)</f>
        <v>8.7477389473684308</v>
      </c>
      <c r="P23" s="2895" t="str">
        <f t="shared" si="4"/>
        <v>L</v>
      </c>
      <c r="Q23" s="1833">
        <f>'XM.FILE GOC'!P95</f>
        <v>5.85</v>
      </c>
      <c r="R23" s="969" t="s">
        <v>8</v>
      </c>
      <c r="S23" s="970">
        <f>'XM.FILE GOC'!S95</f>
        <v>5.6162526315789609</v>
      </c>
      <c r="T23" s="974" t="s">
        <v>10</v>
      </c>
      <c r="U23" s="2236">
        <v>6</v>
      </c>
      <c r="V23" s="910" t="str">
        <f t="shared" si="5"/>
        <v>+</v>
      </c>
      <c r="W23" s="935">
        <f>IF(U23="","",('XM.FILE GOC'!$G$95-U23)*4042/95*1.028)</f>
        <v>0</v>
      </c>
      <c r="X23" s="2895" t="str">
        <f t="shared" si="6"/>
        <v>L</v>
      </c>
      <c r="Y23" s="1833">
        <f>'XM.FILE GOC'!W95</f>
        <v>6</v>
      </c>
      <c r="Z23" s="969" t="s">
        <v>8</v>
      </c>
      <c r="AA23" s="970">
        <f>'XM.FILE GOC'!Z95</f>
        <v>0</v>
      </c>
      <c r="AB23" s="974" t="s">
        <v>10</v>
      </c>
      <c r="AC23" s="2236"/>
      <c r="AD23" s="910" t="str">
        <f t="shared" si="7"/>
        <v/>
      </c>
      <c r="AE23" s="935" t="str">
        <f>IF(AC23="","",('XM.FILE GOC'!$G$95-AC23)*4042/95*1.028)</f>
        <v/>
      </c>
      <c r="AF23" s="2895" t="str">
        <f t="shared" si="8"/>
        <v/>
      </c>
      <c r="AG23" s="2167"/>
    </row>
    <row r="24" spans="1:67" ht="42" customHeight="1">
      <c r="A24" s="2454">
        <v>13</v>
      </c>
      <c r="B24" s="3233"/>
      <c r="C24" s="3234"/>
      <c r="D24" s="3234"/>
      <c r="E24" s="3235"/>
      <c r="F24" s="2829" t="s">
        <v>5</v>
      </c>
      <c r="G24" s="2010" t="str">
        <f>'XM.GUI MAIL'!$E$96</f>
        <v>1.8~2.4</v>
      </c>
      <c r="H24" s="2828" t="str">
        <f>'XM.GUI MAIL'!$F$96</f>
        <v>(2.1±0.1)</v>
      </c>
      <c r="I24" s="1761">
        <f>'XM.FILE GOC'!I96</f>
        <v>2.0299999999999998</v>
      </c>
      <c r="J24" s="969"/>
      <c r="K24" s="973"/>
      <c r="L24" s="974"/>
      <c r="M24" s="2399"/>
      <c r="N24" s="2103" t="str">
        <f t="shared" si="3"/>
        <v/>
      </c>
      <c r="O24" s="2400"/>
      <c r="P24" s="2279"/>
      <c r="Q24" s="1761">
        <f>'XM.FILE GOC'!P96</f>
        <v>2</v>
      </c>
      <c r="R24" s="969" t="s">
        <v>8</v>
      </c>
      <c r="S24" s="970">
        <f>'XM.FILE GOC'!S96</f>
        <v>0</v>
      </c>
      <c r="T24" s="974" t="s">
        <v>10</v>
      </c>
      <c r="U24" s="2236"/>
      <c r="V24" s="2103" t="str">
        <f t="shared" si="5"/>
        <v/>
      </c>
      <c r="W24" s="1590"/>
      <c r="X24" s="2279"/>
      <c r="Y24" s="1761">
        <f>'XM.FILE GOC'!W96</f>
        <v>2.0499999999999998</v>
      </c>
      <c r="Z24" s="969" t="s">
        <v>8</v>
      </c>
      <c r="AA24" s="970">
        <f>'XM.FILE GOC'!Z96</f>
        <v>0</v>
      </c>
      <c r="AB24" s="974" t="s">
        <v>10</v>
      </c>
      <c r="AC24" s="2236"/>
      <c r="AD24" s="2103" t="str">
        <f t="shared" si="7"/>
        <v/>
      </c>
      <c r="AE24" s="1590"/>
      <c r="AF24" s="2279"/>
      <c r="AG24" s="2167"/>
    </row>
    <row r="25" spans="1:67" ht="42" customHeight="1">
      <c r="A25" s="2867">
        <v>14</v>
      </c>
      <c r="B25" s="3242" t="s">
        <v>1647</v>
      </c>
      <c r="C25" s="3243"/>
      <c r="D25" s="3243"/>
      <c r="E25" s="3244"/>
      <c r="F25" s="2876" t="s">
        <v>3</v>
      </c>
      <c r="G25" s="2876" t="s">
        <v>1644</v>
      </c>
      <c r="H25" s="2877" t="s">
        <v>1645</v>
      </c>
      <c r="I25" s="1726">
        <f>'XM.FILE GOC'!I97</f>
        <v>13.7</v>
      </c>
      <c r="J25" s="969" t="s">
        <v>8</v>
      </c>
      <c r="K25" s="970">
        <f>'XM.FILE GOC'!L97</f>
        <v>10.080000000000023</v>
      </c>
      <c r="L25" s="974" t="s">
        <v>10</v>
      </c>
      <c r="M25" s="2236">
        <v>14.1</v>
      </c>
      <c r="N25" s="910" t="str">
        <f t="shared" si="3"/>
        <v>+</v>
      </c>
      <c r="O25" s="1588">
        <f>IF(M25=0,"",('XM.FILE GOC'!$G$97-M25)*3360/102)</f>
        <v>-3.2941176470588118</v>
      </c>
      <c r="P25" s="2895" t="str">
        <f>IF(O25="","","L")</f>
        <v>L</v>
      </c>
      <c r="Q25" s="1726">
        <f>'XM.FILE GOC'!P97</f>
        <v>14.1</v>
      </c>
      <c r="R25" s="969" t="s">
        <v>8</v>
      </c>
      <c r="S25" s="970">
        <f>'XM.FILE GOC'!S97</f>
        <v>0</v>
      </c>
      <c r="T25" s="974" t="s">
        <v>10</v>
      </c>
      <c r="U25" s="2236"/>
      <c r="V25" s="910" t="str">
        <f t="shared" si="5"/>
        <v/>
      </c>
      <c r="W25" s="2291" t="str">
        <f>IF(U25=0,"",('XM.FILE GOC'!$G$97-U25)*3360/102)</f>
        <v/>
      </c>
      <c r="X25" s="2895" t="str">
        <f>IF(W25="","","L")</f>
        <v/>
      </c>
      <c r="Y25" s="1726">
        <f>'XM.FILE GOC'!W97</f>
        <v>14</v>
      </c>
      <c r="Z25" s="969" t="s">
        <v>8</v>
      </c>
      <c r="AA25" s="970">
        <f>'XM.FILE GOC'!Z97</f>
        <v>0</v>
      </c>
      <c r="AB25" s="974" t="s">
        <v>10</v>
      </c>
      <c r="AC25" s="2236"/>
      <c r="AD25" s="910" t="str">
        <f t="shared" si="7"/>
        <v/>
      </c>
      <c r="AE25" s="2291" t="str">
        <f>IF(AC25=0,"",('XM.FILE GOC'!$G$97-AC25)*3360/102)</f>
        <v/>
      </c>
      <c r="AF25" s="2895" t="str">
        <f>IF(AE25="","","L")</f>
        <v/>
      </c>
      <c r="AG25" s="2866"/>
    </row>
    <row r="26" spans="1:67" ht="42" customHeight="1">
      <c r="A26" s="2454">
        <v>15</v>
      </c>
      <c r="B26" s="3245"/>
      <c r="C26" s="3246"/>
      <c r="D26" s="3246"/>
      <c r="E26" s="3247"/>
      <c r="F26" s="2878" t="s">
        <v>5</v>
      </c>
      <c r="G26" s="2878" t="s">
        <v>1634</v>
      </c>
      <c r="H26" s="2877" t="s">
        <v>1655</v>
      </c>
      <c r="I26" s="1761">
        <f>'XM.FILE GOC'!I98</f>
        <v>1.67</v>
      </c>
      <c r="J26" s="969"/>
      <c r="K26" s="973"/>
      <c r="L26" s="974"/>
      <c r="M26" s="2897"/>
      <c r="N26" s="2898"/>
      <c r="O26" s="2899"/>
      <c r="P26" s="2900"/>
      <c r="Q26" s="1761">
        <f>'XM.FILE GOC'!P98</f>
        <v>1.71</v>
      </c>
      <c r="R26" s="969" t="s">
        <v>8</v>
      </c>
      <c r="S26" s="970"/>
      <c r="T26" s="974" t="s">
        <v>10</v>
      </c>
      <c r="U26" s="2236"/>
      <c r="V26" s="2898"/>
      <c r="W26" s="1590"/>
      <c r="X26" s="2900"/>
      <c r="Y26" s="1761">
        <f>'XM.FILE GOC'!W98</f>
        <v>1.69</v>
      </c>
      <c r="Z26" s="969" t="s">
        <v>8</v>
      </c>
      <c r="AA26" s="970">
        <f>'XM.FILE GOC'!Z98</f>
        <v>0</v>
      </c>
      <c r="AB26" s="974" t="s">
        <v>10</v>
      </c>
      <c r="AC26" s="2236"/>
      <c r="AD26" s="2898"/>
      <c r="AE26" s="1590"/>
      <c r="AF26" s="2900"/>
      <c r="AG26" s="2866"/>
    </row>
    <row r="27" spans="1:67" ht="29.25" customHeight="1">
      <c r="A27" s="972"/>
      <c r="B27" s="2872" t="s">
        <v>2</v>
      </c>
      <c r="C27" s="2873"/>
      <c r="D27" s="2873"/>
      <c r="E27" s="2873"/>
      <c r="F27" s="2873"/>
      <c r="G27" s="2873"/>
      <c r="H27" s="2873"/>
      <c r="I27" s="2422"/>
      <c r="J27" s="2422"/>
      <c r="K27" s="2422"/>
      <c r="L27" s="2422"/>
      <c r="M27" s="2422"/>
      <c r="N27" s="2422"/>
      <c r="O27" s="2422"/>
      <c r="P27" s="2422"/>
      <c r="Q27" s="2422"/>
      <c r="R27" s="2422"/>
      <c r="S27" s="2422"/>
      <c r="T27" s="2422"/>
      <c r="U27" s="2422"/>
      <c r="V27" s="2422"/>
      <c r="W27" s="2422"/>
      <c r="X27" s="2422"/>
      <c r="Y27" s="2422"/>
      <c r="Z27" s="2422"/>
      <c r="AA27" s="2422"/>
      <c r="AB27" s="2422"/>
      <c r="AC27" s="2422"/>
      <c r="AD27" s="2422"/>
      <c r="AE27" s="2422"/>
      <c r="AF27" s="2422"/>
      <c r="AG27" s="2423"/>
    </row>
    <row r="28" spans="1:67" ht="49.5" customHeight="1">
      <c r="A28" s="972" t="s">
        <v>7</v>
      </c>
      <c r="B28" s="3229" t="s">
        <v>948</v>
      </c>
      <c r="C28" s="3227"/>
      <c r="D28" s="3227"/>
      <c r="E28" s="3228"/>
      <c r="F28" s="2868" t="s">
        <v>949</v>
      </c>
      <c r="G28" s="2868" t="s">
        <v>1296</v>
      </c>
      <c r="H28" s="2204" t="s">
        <v>1289</v>
      </c>
      <c r="I28" s="3227" t="s">
        <v>950</v>
      </c>
      <c r="J28" s="3228"/>
      <c r="K28" s="3229" t="s">
        <v>951</v>
      </c>
      <c r="L28" s="3228"/>
      <c r="M28" s="917"/>
      <c r="N28" s="918"/>
      <c r="O28" s="918"/>
      <c r="P28" s="919"/>
      <c r="Q28" s="3229" t="s">
        <v>950</v>
      </c>
      <c r="R28" s="3228"/>
      <c r="S28" s="3229" t="s">
        <v>951</v>
      </c>
      <c r="T28" s="3228"/>
      <c r="U28" s="917"/>
      <c r="V28" s="918"/>
      <c r="W28" s="918"/>
      <c r="X28" s="919"/>
      <c r="Y28" s="3229" t="s">
        <v>950</v>
      </c>
      <c r="Z28" s="3228"/>
      <c r="AA28" s="3229" t="s">
        <v>951</v>
      </c>
      <c r="AB28" s="3228"/>
      <c r="AC28" s="917"/>
      <c r="AD28" s="918"/>
      <c r="AE28" s="918"/>
      <c r="AF28" s="919"/>
      <c r="AG28" s="10"/>
    </row>
    <row r="29" spans="1:67" ht="42.75" customHeight="1">
      <c r="A29" s="972">
        <v>1</v>
      </c>
      <c r="B29" s="3229" t="s">
        <v>1651</v>
      </c>
      <c r="C29" s="3227"/>
      <c r="D29" s="3227"/>
      <c r="E29" s="3228"/>
      <c r="F29" s="976" t="s">
        <v>953</v>
      </c>
      <c r="G29" s="897" t="str">
        <f>'XM.FILE GOC'!$E$105</f>
        <v>50~70</v>
      </c>
      <c r="H29" s="2202" t="str">
        <f>'XM.FILE GOC'!$F$105</f>
        <v>(60±5)</v>
      </c>
      <c r="I29" s="3195">
        <f>'XM.GUI MAIL'!I105</f>
        <v>58</v>
      </c>
      <c r="J29" s="3121"/>
      <c r="K29" s="3121">
        <f>'XM.FILE GOC'!L105</f>
        <v>58</v>
      </c>
      <c r="L29" s="3121"/>
      <c r="M29" s="920"/>
      <c r="N29" s="921"/>
      <c r="O29" s="921"/>
      <c r="P29" s="922"/>
      <c r="Q29" s="3121">
        <f>'XM.GUI MAIL'!P105</f>
        <v>58</v>
      </c>
      <c r="R29" s="3121"/>
      <c r="S29" s="3121">
        <f>'XM.FILE GOC'!S105</f>
        <v>58</v>
      </c>
      <c r="T29" s="3121"/>
      <c r="U29" s="920"/>
      <c r="V29" s="921"/>
      <c r="W29" s="921"/>
      <c r="X29" s="922"/>
      <c r="Y29" s="3121">
        <f>'XM.GUI MAIL'!W105</f>
        <v>58</v>
      </c>
      <c r="Z29" s="3121"/>
      <c r="AA29" s="3121">
        <f>'XM.FILE GOC'!Z105</f>
        <v>58</v>
      </c>
      <c r="AB29" s="3121"/>
      <c r="AC29" s="920"/>
      <c r="AD29" s="921"/>
      <c r="AE29" s="921"/>
      <c r="AF29" s="922"/>
      <c r="AG29" s="75"/>
    </row>
    <row r="30" spans="1:67" ht="42.75" customHeight="1">
      <c r="A30" s="972">
        <v>2</v>
      </c>
      <c r="B30" s="3229" t="s">
        <v>1652</v>
      </c>
      <c r="C30" s="3227"/>
      <c r="D30" s="3227"/>
      <c r="E30" s="3228"/>
      <c r="F30" s="976" t="s">
        <v>953</v>
      </c>
      <c r="G30" s="897" t="str">
        <f>'XM.FILE GOC'!$E$106</f>
        <v>50~70</v>
      </c>
      <c r="H30" s="2202" t="str">
        <f>'XM.FILE GOC'!$F$106</f>
        <v>(60±5)</v>
      </c>
      <c r="I30" s="3195">
        <f>'XM.GUI MAIL'!I106</f>
        <v>58</v>
      </c>
      <c r="J30" s="3121"/>
      <c r="K30" s="3121">
        <f>'XM.FILE GOC'!L106</f>
        <v>58</v>
      </c>
      <c r="L30" s="3121"/>
      <c r="M30" s="920"/>
      <c r="N30" s="921"/>
      <c r="O30" s="921"/>
      <c r="P30" s="922"/>
      <c r="Q30" s="3121">
        <f>'XM.GUI MAIL'!P106</f>
        <v>58</v>
      </c>
      <c r="R30" s="3121"/>
      <c r="S30" s="3121">
        <f>'XM.FILE GOC'!S106</f>
        <v>58</v>
      </c>
      <c r="T30" s="3121"/>
      <c r="U30" s="920"/>
      <c r="V30" s="921"/>
      <c r="W30" s="921"/>
      <c r="X30" s="922"/>
      <c r="Y30" s="3121">
        <f>'XM.GUI MAIL'!W106</f>
        <v>59</v>
      </c>
      <c r="Z30" s="3121"/>
      <c r="AA30" s="3121">
        <f>'XM.FILE GOC'!Z106</f>
        <v>58</v>
      </c>
      <c r="AB30" s="3121"/>
      <c r="AC30" s="920"/>
      <c r="AD30" s="921"/>
      <c r="AE30" s="921"/>
      <c r="AF30" s="922"/>
      <c r="AG30" s="75"/>
    </row>
    <row r="31" spans="1:67" ht="42.75" customHeight="1">
      <c r="A31" s="1361">
        <v>3</v>
      </c>
      <c r="B31" s="3229" t="s">
        <v>955</v>
      </c>
      <c r="C31" s="3227"/>
      <c r="D31" s="3227"/>
      <c r="E31" s="3228"/>
      <c r="F31" s="976" t="s">
        <v>953</v>
      </c>
      <c r="G31" s="897" t="str">
        <f>'XM.FILE GOC'!$E$107</f>
        <v>50~70</v>
      </c>
      <c r="H31" s="2202" t="str">
        <f>'XM.FILE GOC'!$F$107</f>
        <v>(60±5)</v>
      </c>
      <c r="I31" s="3195">
        <f>'XM.GUI MAIL'!I107</f>
        <v>59</v>
      </c>
      <c r="J31" s="3121"/>
      <c r="K31" s="3121">
        <f>'XM.FILE GOC'!L107</f>
        <v>58</v>
      </c>
      <c r="L31" s="3121"/>
      <c r="M31" s="920"/>
      <c r="N31" s="921"/>
      <c r="O31" s="921"/>
      <c r="P31" s="922"/>
      <c r="Q31" s="3121">
        <f>'XM.GUI MAIL'!P107</f>
        <v>58</v>
      </c>
      <c r="R31" s="3121"/>
      <c r="S31" s="3121">
        <f>'XM.FILE GOC'!S107</f>
        <v>59</v>
      </c>
      <c r="T31" s="3121"/>
      <c r="U31" s="920"/>
      <c r="V31" s="921"/>
      <c r="W31" s="921"/>
      <c r="X31" s="922"/>
      <c r="Y31" s="3121">
        <f>'XM.GUI MAIL'!W107</f>
        <v>59</v>
      </c>
      <c r="Z31" s="3121"/>
      <c r="AA31" s="3121">
        <f>'XM.FILE GOC'!Z107</f>
        <v>58</v>
      </c>
      <c r="AB31" s="3121"/>
      <c r="AC31" s="920"/>
      <c r="AD31" s="921"/>
      <c r="AE31" s="921"/>
      <c r="AF31" s="922"/>
      <c r="AG31" s="75"/>
    </row>
    <row r="32" spans="1:67" ht="42.75" customHeight="1">
      <c r="A32" s="1361">
        <v>4</v>
      </c>
      <c r="B32" s="3229" t="s">
        <v>1653</v>
      </c>
      <c r="C32" s="3227"/>
      <c r="D32" s="3227"/>
      <c r="E32" s="3228"/>
      <c r="F32" s="976" t="s">
        <v>953</v>
      </c>
      <c r="G32" s="897" t="str">
        <f>'XM.FILE GOC'!$E$108</f>
        <v>50~70</v>
      </c>
      <c r="H32" s="2202" t="str">
        <f>'XM.FILE GOC'!$F$108</f>
        <v>(60±5)</v>
      </c>
      <c r="I32" s="3195">
        <f>'XM.GUI MAIL'!I108</f>
        <v>59</v>
      </c>
      <c r="J32" s="3121"/>
      <c r="K32" s="3121">
        <f>'XM.FILE GOC'!L108</f>
        <v>58</v>
      </c>
      <c r="L32" s="3121"/>
      <c r="M32" s="920"/>
      <c r="N32" s="921"/>
      <c r="O32" s="921"/>
      <c r="P32" s="922"/>
      <c r="Q32" s="3121">
        <f>'XM.GUI MAIL'!P108</f>
        <v>59</v>
      </c>
      <c r="R32" s="3121"/>
      <c r="S32" s="3121">
        <f>'XM.FILE GOC'!S108</f>
        <v>59</v>
      </c>
      <c r="T32" s="3121"/>
      <c r="U32" s="920"/>
      <c r="V32" s="921"/>
      <c r="W32" s="921"/>
      <c r="X32" s="922"/>
      <c r="Y32" s="3121">
        <f>'XM.GUI MAIL'!W108</f>
        <v>58</v>
      </c>
      <c r="Z32" s="3121"/>
      <c r="AA32" s="3121">
        <f>'XM.FILE GOC'!Z108</f>
        <v>58</v>
      </c>
      <c r="AB32" s="3121"/>
      <c r="AC32" s="920"/>
      <c r="AD32" s="921"/>
      <c r="AE32" s="921"/>
      <c r="AF32" s="922"/>
      <c r="AG32" s="75"/>
    </row>
    <row r="33" spans="1:67" ht="42.75" customHeight="1">
      <c r="A33" s="1366">
        <v>5</v>
      </c>
      <c r="B33" s="3279" t="s">
        <v>957</v>
      </c>
      <c r="C33" s="3280"/>
      <c r="D33" s="3280"/>
      <c r="E33" s="3281"/>
      <c r="F33" s="2830" t="s">
        <v>953</v>
      </c>
      <c r="G33" s="2010" t="str">
        <f>'XM.FILE GOC'!$E$109</f>
        <v>22~28</v>
      </c>
      <c r="H33" s="2828" t="str">
        <f>'XM.FILE GOC'!$F$109</f>
        <v>(25±3)</v>
      </c>
      <c r="I33" s="3282">
        <f>'XM.GUI MAIL'!I109</f>
        <v>25</v>
      </c>
      <c r="J33" s="3283"/>
      <c r="K33" s="3283">
        <f>'XM.FILE GOC'!L109</f>
        <v>24</v>
      </c>
      <c r="L33" s="3283"/>
      <c r="M33" s="920"/>
      <c r="N33" s="921"/>
      <c r="O33" s="921"/>
      <c r="P33" s="922"/>
      <c r="Q33" s="3283">
        <f>'XM.GUI MAIL'!P109</f>
        <v>26</v>
      </c>
      <c r="R33" s="3283"/>
      <c r="S33" s="3283">
        <f>'XM.FILE GOC'!S109</f>
        <v>25</v>
      </c>
      <c r="T33" s="3283"/>
      <c r="U33" s="920"/>
      <c r="V33" s="921"/>
      <c r="W33" s="921"/>
      <c r="X33" s="922"/>
      <c r="Y33" s="3283">
        <f>'XM.GUI MAIL'!W109</f>
        <v>25</v>
      </c>
      <c r="Z33" s="3283"/>
      <c r="AA33" s="3283">
        <f>'XM.FILE GOC'!Z109</f>
        <v>24</v>
      </c>
      <c r="AB33" s="3283"/>
      <c r="AC33" s="920"/>
      <c r="AD33" s="921"/>
      <c r="AE33" s="921"/>
      <c r="AF33" s="922"/>
      <c r="AG33" s="75"/>
    </row>
    <row r="34" spans="1:67" ht="42.75" customHeight="1">
      <c r="A34" s="1366">
        <v>6</v>
      </c>
      <c r="B34" s="3279" t="s">
        <v>1649</v>
      </c>
      <c r="C34" s="3280"/>
      <c r="D34" s="3280"/>
      <c r="E34" s="3281"/>
      <c r="F34" s="2830" t="s">
        <v>953</v>
      </c>
      <c r="G34" s="2010" t="str">
        <f>'XM.FILE GOC'!$E$110</f>
        <v>30~40</v>
      </c>
      <c r="H34" s="2828" t="str">
        <f>'XM.FILE GOC'!$F$110</f>
        <v>(34±3)</v>
      </c>
      <c r="I34" s="3195">
        <v>34</v>
      </c>
      <c r="J34" s="3121"/>
      <c r="K34" s="3121">
        <v>35</v>
      </c>
      <c r="L34" s="3121"/>
      <c r="M34" s="920"/>
      <c r="N34" s="921"/>
      <c r="O34" s="921"/>
      <c r="P34" s="922"/>
      <c r="Q34" s="3121">
        <v>35</v>
      </c>
      <c r="R34" s="3121"/>
      <c r="S34" s="3121">
        <v>34</v>
      </c>
      <c r="T34" s="3121"/>
      <c r="U34" s="920"/>
      <c r="V34" s="921"/>
      <c r="W34" s="921"/>
      <c r="X34" s="922"/>
      <c r="Y34" s="3121">
        <f>'XM.GUI MAIL'!W110</f>
        <v>37</v>
      </c>
      <c r="Z34" s="3121"/>
      <c r="AA34" s="3121">
        <f>'XM.FILE GOC'!Z110</f>
        <v>37</v>
      </c>
      <c r="AB34" s="3121"/>
      <c r="AC34" s="920"/>
      <c r="AD34" s="921"/>
      <c r="AE34" s="921"/>
      <c r="AF34" s="922"/>
      <c r="AG34" s="75"/>
      <c r="AH34" s="944"/>
    </row>
    <row r="35" spans="1:67" ht="42.75" customHeight="1">
      <c r="A35" s="1366">
        <v>7</v>
      </c>
      <c r="B35" s="3229" t="s">
        <v>1650</v>
      </c>
      <c r="C35" s="3227"/>
      <c r="D35" s="3227"/>
      <c r="E35" s="3228"/>
      <c r="F35" s="976" t="s">
        <v>953</v>
      </c>
      <c r="G35" s="897" t="str">
        <f>'XM.FILE GOC'!$E$111</f>
        <v>55~65</v>
      </c>
      <c r="H35" s="2202" t="str">
        <f>'XM.FILE GOC'!$F$111</f>
        <v>(60±5)</v>
      </c>
      <c r="I35" s="3195">
        <f>'XM.GUI MAIL'!I111</f>
        <v>62</v>
      </c>
      <c r="J35" s="3121"/>
      <c r="K35" s="3121">
        <f>'XM.FILE GOC'!L111</f>
        <v>61</v>
      </c>
      <c r="L35" s="3121"/>
      <c r="M35" s="920"/>
      <c r="N35" s="921"/>
      <c r="O35" s="921"/>
      <c r="P35" s="922"/>
      <c r="Q35" s="3121">
        <f>'XM.GUI MAIL'!P111</f>
        <v>61</v>
      </c>
      <c r="R35" s="3121"/>
      <c r="S35" s="3121">
        <f>'XM.FILE GOC'!S111</f>
        <v>62</v>
      </c>
      <c r="T35" s="3121"/>
      <c r="U35" s="920"/>
      <c r="V35" s="921"/>
      <c r="W35" s="921"/>
      <c r="X35" s="922"/>
      <c r="Y35" s="3121">
        <f>'XM.GUI MAIL'!W111</f>
        <v>58</v>
      </c>
      <c r="Z35" s="3121"/>
      <c r="AA35" s="3121">
        <f>'XM.FILE GOC'!Z111</f>
        <v>57</v>
      </c>
      <c r="AB35" s="3121"/>
      <c r="AC35" s="920"/>
      <c r="AD35" s="921"/>
      <c r="AE35" s="921"/>
      <c r="AF35" s="922"/>
      <c r="AG35" s="75"/>
    </row>
    <row r="36" spans="1:67" ht="42.75" customHeight="1">
      <c r="A36" s="1366">
        <v>8</v>
      </c>
      <c r="B36" s="3229" t="s">
        <v>960</v>
      </c>
      <c r="C36" s="3227"/>
      <c r="D36" s="3227"/>
      <c r="E36" s="3228"/>
      <c r="F36" s="976" t="s">
        <v>953</v>
      </c>
      <c r="G36" s="897" t="str">
        <f>'XM.FILE GOC'!$E$112</f>
        <v>80~100</v>
      </c>
      <c r="H36" s="2202" t="str">
        <f>'XM.FILE GOC'!$F$112</f>
        <v>(90±5)</v>
      </c>
      <c r="I36" s="3228" t="s">
        <v>46</v>
      </c>
      <c r="J36" s="3284"/>
      <c r="K36" s="3121">
        <f>'XM.FILE GOC'!L112</f>
        <v>93</v>
      </c>
      <c r="L36" s="3121"/>
      <c r="M36" s="920"/>
      <c r="N36" s="921"/>
      <c r="O36" s="921"/>
      <c r="P36" s="922"/>
      <c r="Q36" s="3284" t="s">
        <v>46</v>
      </c>
      <c r="R36" s="3284"/>
      <c r="S36" s="3121">
        <f>'XM.FILE GOC'!S112</f>
        <v>92</v>
      </c>
      <c r="T36" s="3121"/>
      <c r="U36" s="920"/>
      <c r="V36" s="921"/>
      <c r="W36" s="921"/>
      <c r="X36" s="922"/>
      <c r="Y36" s="3284" t="s">
        <v>46</v>
      </c>
      <c r="Z36" s="3284"/>
      <c r="AA36" s="3121">
        <f>'XM.FILE GOC'!Z112</f>
        <v>92</v>
      </c>
      <c r="AB36" s="3121"/>
      <c r="AC36" s="920"/>
      <c r="AD36" s="921"/>
      <c r="AE36" s="921"/>
      <c r="AF36" s="922"/>
      <c r="AG36" s="75"/>
    </row>
    <row r="37" spans="1:67" ht="42.75" customHeight="1">
      <c r="A37" s="1366">
        <v>9</v>
      </c>
      <c r="B37" s="3278" t="s">
        <v>1274</v>
      </c>
      <c r="C37" s="3168"/>
      <c r="D37" s="3168"/>
      <c r="E37" s="3169"/>
      <c r="F37" s="976" t="s">
        <v>953</v>
      </c>
      <c r="G37" s="897" t="str">
        <f>'XM.FILE GOC'!$E$113</f>
        <v>40~60</v>
      </c>
      <c r="H37" s="2202" t="str">
        <f>'XM.FILE GOC'!$F$113</f>
        <v>(50±10)</v>
      </c>
      <c r="I37" s="3276">
        <f>'XM.FILE GOC'!I113</f>
        <v>56</v>
      </c>
      <c r="J37" s="3277"/>
      <c r="K37" s="3277">
        <f>'XM.FILE GOC'!L113</f>
        <v>55</v>
      </c>
      <c r="L37" s="3277"/>
      <c r="M37" s="920"/>
      <c r="N37" s="921"/>
      <c r="O37" s="921"/>
      <c r="P37" s="922"/>
      <c r="Q37" s="3277">
        <f>'XM.FILE GOC'!P113</f>
        <v>56</v>
      </c>
      <c r="R37" s="3277"/>
      <c r="S37" s="3277">
        <f>'XM.FILE GOC'!S113</f>
        <v>56</v>
      </c>
      <c r="T37" s="3277"/>
      <c r="U37" s="920"/>
      <c r="V37" s="921"/>
      <c r="W37" s="921"/>
      <c r="X37" s="922"/>
      <c r="Y37" s="3277">
        <f>'XM.FILE GOC'!W113</f>
        <v>56</v>
      </c>
      <c r="Z37" s="3277"/>
      <c r="AA37" s="3277">
        <f>'XM.FILE GOC'!Z113</f>
        <v>55</v>
      </c>
      <c r="AB37" s="3277"/>
      <c r="AC37" s="920"/>
      <c r="AD37" s="921"/>
      <c r="AE37" s="921"/>
      <c r="AF37" s="922"/>
      <c r="AG37" s="1367"/>
    </row>
    <row r="38" spans="1:67" ht="42.75" customHeight="1">
      <c r="A38" s="1366">
        <v>10</v>
      </c>
      <c r="B38" s="3278" t="s">
        <v>1277</v>
      </c>
      <c r="C38" s="3168"/>
      <c r="D38" s="3168"/>
      <c r="E38" s="3169"/>
      <c r="F38" s="976" t="s">
        <v>953</v>
      </c>
      <c r="G38" s="897" t="str">
        <f>'XM.FILE GOC'!$E$114</f>
        <v>50~70</v>
      </c>
      <c r="H38" s="2202" t="str">
        <f>'XM.FILE GOC'!$F$114</f>
        <v>(60±10)</v>
      </c>
      <c r="I38" s="3276">
        <f>'XM.FILE GOC'!I114</f>
        <v>62</v>
      </c>
      <c r="J38" s="3277"/>
      <c r="K38" s="3277">
        <f>'XM.FILE GOC'!L114</f>
        <v>63</v>
      </c>
      <c r="L38" s="3277"/>
      <c r="M38" s="920"/>
      <c r="N38" s="921"/>
      <c r="O38" s="921"/>
      <c r="P38" s="922"/>
      <c r="Q38" s="3277">
        <f>'XM.FILE GOC'!P114</f>
        <v>62</v>
      </c>
      <c r="R38" s="3277"/>
      <c r="S38" s="3277">
        <f>'XM.FILE GOC'!S114</f>
        <v>62</v>
      </c>
      <c r="T38" s="3277"/>
      <c r="U38" s="920"/>
      <c r="V38" s="921"/>
      <c r="W38" s="921"/>
      <c r="X38" s="922"/>
      <c r="Y38" s="3277">
        <f>'XM.FILE GOC'!W114</f>
        <v>62</v>
      </c>
      <c r="Z38" s="3277"/>
      <c r="AA38" s="3277">
        <f>'XM.FILE GOC'!Z114</f>
        <v>63</v>
      </c>
      <c r="AB38" s="3277"/>
      <c r="AC38" s="920"/>
      <c r="AD38" s="921"/>
      <c r="AE38" s="921"/>
      <c r="AF38" s="922"/>
      <c r="AG38" s="1367"/>
    </row>
    <row r="39" spans="1:67" ht="42.75" customHeight="1">
      <c r="A39" s="2867">
        <v>11</v>
      </c>
      <c r="B39" s="3289" t="s">
        <v>1648</v>
      </c>
      <c r="C39" s="3290"/>
      <c r="D39" s="3290"/>
      <c r="E39" s="3291"/>
      <c r="F39" s="2830" t="s">
        <v>953</v>
      </c>
      <c r="G39" s="2880" t="s">
        <v>1511</v>
      </c>
      <c r="H39" s="2877" t="s">
        <v>1512</v>
      </c>
      <c r="I39" s="3222">
        <v>35</v>
      </c>
      <c r="J39" s="3223"/>
      <c r="K39" s="3222">
        <v>35</v>
      </c>
      <c r="L39" s="3223"/>
      <c r="M39" s="2874"/>
      <c r="N39" s="2875"/>
      <c r="O39" s="2875"/>
      <c r="P39" s="2875"/>
      <c r="Q39" s="3222">
        <v>34</v>
      </c>
      <c r="R39" s="3223"/>
      <c r="S39" s="3222">
        <v>35</v>
      </c>
      <c r="T39" s="3223"/>
      <c r="U39" s="2874"/>
      <c r="V39" s="2875"/>
      <c r="W39" s="2875"/>
      <c r="X39" s="2875"/>
      <c r="Y39" s="3222">
        <v>35</v>
      </c>
      <c r="Z39" s="3223"/>
      <c r="AA39" s="3222">
        <v>36</v>
      </c>
      <c r="AB39" s="3223"/>
      <c r="AC39" s="920"/>
      <c r="AD39" s="921"/>
      <c r="AE39" s="921"/>
      <c r="AF39" s="922"/>
      <c r="AG39" s="2869"/>
    </row>
    <row r="40" spans="1:67" ht="42.75" hidden="1" customHeight="1">
      <c r="A40" s="2867">
        <v>12</v>
      </c>
      <c r="B40" s="3292" t="s">
        <v>979</v>
      </c>
      <c r="C40" s="3293"/>
      <c r="D40" s="3293"/>
      <c r="E40" s="3294"/>
      <c r="F40" s="11" t="s">
        <v>26</v>
      </c>
      <c r="G40" s="1008" t="str">
        <f>'XM.GUI MAIL'!$E$115</f>
        <v>20~30</v>
      </c>
      <c r="H40" s="2206" t="str">
        <f>'XM.GUI MAIL'!$F$115</f>
        <v>20~30</v>
      </c>
      <c r="I40" s="3288">
        <f>'XM.FILE GOC'!I115</f>
        <v>0</v>
      </c>
      <c r="J40" s="3088"/>
      <c r="K40" s="3090">
        <f>'XM.FILE GOC'!L115</f>
        <v>0</v>
      </c>
      <c r="L40" s="3088"/>
      <c r="M40" s="2178"/>
      <c r="N40" s="924"/>
      <c r="O40" s="924"/>
      <c r="P40" s="925"/>
      <c r="Q40" s="3090">
        <f>'XM.FILE GOC'!P115</f>
        <v>0</v>
      </c>
      <c r="R40" s="3088"/>
      <c r="S40" s="3090">
        <f>'XM.FILE GOC'!S115</f>
        <v>0</v>
      </c>
      <c r="T40" s="3088"/>
      <c r="U40" s="2178"/>
      <c r="V40" s="924"/>
      <c r="W40" s="924"/>
      <c r="X40" s="925"/>
      <c r="Y40" s="3090">
        <f>'XM.FILE GOC'!W115</f>
        <v>0</v>
      </c>
      <c r="Z40" s="3088"/>
      <c r="AA40" s="3090">
        <f>'XM.FILE GOC'!Z115</f>
        <v>0</v>
      </c>
      <c r="AB40" s="3088"/>
      <c r="AC40" s="920"/>
      <c r="AD40" s="921"/>
      <c r="AE40" s="921"/>
      <c r="AF40" s="922"/>
      <c r="AG40" s="2177"/>
    </row>
    <row r="41" spans="1:67" ht="30.75" customHeight="1">
      <c r="A41" s="972"/>
      <c r="B41" s="2872" t="s">
        <v>1297</v>
      </c>
      <c r="C41" s="2873"/>
      <c r="D41" s="2873"/>
      <c r="E41" s="2873"/>
      <c r="F41" s="2873"/>
      <c r="G41" s="2873"/>
      <c r="H41" s="2873"/>
      <c r="I41" s="2422"/>
      <c r="J41" s="2422"/>
      <c r="K41" s="2422"/>
      <c r="L41" s="2422"/>
      <c r="M41" s="2422"/>
      <c r="N41" s="2422"/>
      <c r="O41" s="2422"/>
      <c r="P41" s="2422"/>
      <c r="Q41" s="2422"/>
      <c r="R41" s="2422"/>
      <c r="S41" s="2422"/>
      <c r="T41" s="2422"/>
      <c r="U41" s="2422"/>
      <c r="V41" s="2422"/>
      <c r="W41" s="2422"/>
      <c r="X41" s="2422"/>
      <c r="Y41" s="2422"/>
      <c r="Z41" s="2422"/>
      <c r="AA41" s="2422"/>
      <c r="AB41" s="2422"/>
      <c r="AC41" s="2422"/>
      <c r="AD41" s="2422"/>
      <c r="AE41" s="2422"/>
      <c r="AF41" s="2422"/>
      <c r="AG41" s="2423"/>
    </row>
    <row r="42" spans="1:67" ht="42.75" customHeight="1">
      <c r="A42" s="972" t="s">
        <v>7</v>
      </c>
      <c r="B42" s="3229" t="s">
        <v>961</v>
      </c>
      <c r="C42" s="3227"/>
      <c r="D42" s="3227"/>
      <c r="E42" s="3228"/>
      <c r="F42" s="2868" t="s">
        <v>734</v>
      </c>
      <c r="G42" s="2868" t="s">
        <v>1296</v>
      </c>
      <c r="H42" s="2204" t="s">
        <v>1289</v>
      </c>
      <c r="I42" s="3227" t="s">
        <v>962</v>
      </c>
      <c r="J42" s="3227"/>
      <c r="K42" s="3227"/>
      <c r="L42" s="3228"/>
      <c r="M42" s="1296"/>
      <c r="N42" s="1297"/>
      <c r="O42" s="1297"/>
      <c r="P42" s="1298"/>
      <c r="Q42" s="3229" t="s">
        <v>962</v>
      </c>
      <c r="R42" s="3227"/>
      <c r="S42" s="3227"/>
      <c r="T42" s="3228"/>
      <c r="U42" s="1296"/>
      <c r="V42" s="1297"/>
      <c r="W42" s="1297"/>
      <c r="X42" s="1298"/>
      <c r="Y42" s="3229" t="s">
        <v>962</v>
      </c>
      <c r="Z42" s="3227"/>
      <c r="AA42" s="3227"/>
      <c r="AB42" s="3228"/>
      <c r="AC42" s="917"/>
      <c r="AD42" s="918"/>
      <c r="AE42" s="918"/>
      <c r="AF42" s="919"/>
      <c r="AG42" s="10"/>
    </row>
    <row r="43" spans="1:67" ht="36.75" customHeight="1">
      <c r="A43" s="972">
        <v>1</v>
      </c>
      <c r="B43" s="3285" t="s">
        <v>1568</v>
      </c>
      <c r="C43" s="3286"/>
      <c r="D43" s="3286"/>
      <c r="E43" s="3287"/>
      <c r="F43" s="2879" t="s">
        <v>1641</v>
      </c>
      <c r="G43" s="2010" t="str">
        <f>'XM.FILE GOC'!$E$120</f>
        <v>30~50 
(40)</v>
      </c>
      <c r="H43" s="2828" t="str">
        <f>'XM.FILE GOC'!$F$120</f>
        <v>30~50 
(40)</v>
      </c>
      <c r="I43" s="3099">
        <f>'XM.GUI MAIL'!I120</f>
        <v>42</v>
      </c>
      <c r="J43" s="3099"/>
      <c r="K43" s="3099"/>
      <c r="L43" s="3099"/>
      <c r="M43" s="1302"/>
      <c r="N43" s="1303"/>
      <c r="O43" s="1303"/>
      <c r="P43" s="1304"/>
      <c r="Q43" s="3098">
        <f>'XM.GUI MAIL'!P120</f>
        <v>40</v>
      </c>
      <c r="R43" s="3099"/>
      <c r="S43" s="3099"/>
      <c r="T43" s="3099"/>
      <c r="U43" s="1302"/>
      <c r="V43" s="1303"/>
      <c r="W43" s="1303"/>
      <c r="X43" s="1304"/>
      <c r="Y43" s="3098">
        <f>'XM.GUI MAIL'!W120</f>
        <v>42</v>
      </c>
      <c r="Z43" s="3099"/>
      <c r="AA43" s="3099"/>
      <c r="AB43" s="3100"/>
      <c r="AC43" s="926"/>
      <c r="AD43" s="904"/>
      <c r="AE43" s="904"/>
      <c r="AF43" s="927"/>
      <c r="AG43" s="75"/>
    </row>
    <row r="44" spans="1:67" ht="36.75" customHeight="1">
      <c r="A44" s="972">
        <v>2</v>
      </c>
      <c r="B44" s="3285" t="s">
        <v>1569</v>
      </c>
      <c r="C44" s="3286"/>
      <c r="D44" s="3286"/>
      <c r="E44" s="3287"/>
      <c r="F44" s="2879" t="s">
        <v>1641</v>
      </c>
      <c r="G44" s="2010" t="str">
        <f>'XM.FILE GOC'!$E$121</f>
        <v>160~220
(180)</v>
      </c>
      <c r="H44" s="2828" t="str">
        <f>'XM.FILE GOC'!$F$121</f>
        <v>160~220
(180)</v>
      </c>
      <c r="I44" s="3099">
        <f>'XM.GUI MAIL'!I121</f>
        <v>195</v>
      </c>
      <c r="J44" s="3099"/>
      <c r="K44" s="3099"/>
      <c r="L44" s="3099"/>
      <c r="M44" s="1299"/>
      <c r="N44" s="1300"/>
      <c r="O44" s="1300"/>
      <c r="P44" s="1301"/>
      <c r="Q44" s="3098">
        <f>'XM.GUI MAIL'!P121</f>
        <v>197</v>
      </c>
      <c r="R44" s="3099"/>
      <c r="S44" s="3099"/>
      <c r="T44" s="3099"/>
      <c r="U44" s="1299"/>
      <c r="V44" s="1300"/>
      <c r="W44" s="1300"/>
      <c r="X44" s="1301"/>
      <c r="Y44" s="3098">
        <f>'XM.GUI MAIL'!W121</f>
        <v>200</v>
      </c>
      <c r="Z44" s="3099"/>
      <c r="AA44" s="3099"/>
      <c r="AB44" s="3100"/>
      <c r="AC44" s="928"/>
      <c r="AD44" s="929"/>
      <c r="AE44" s="929"/>
      <c r="AF44" s="930"/>
      <c r="AG44" s="75"/>
    </row>
    <row r="45" spans="1:67" ht="21" customHeight="1">
      <c r="A45" s="977"/>
      <c r="B45" s="2870"/>
      <c r="C45" s="2870"/>
      <c r="D45" s="2870"/>
      <c r="E45" s="2870"/>
      <c r="F45" s="978"/>
      <c r="G45" s="978"/>
      <c r="H45" s="978"/>
      <c r="I45" s="978"/>
      <c r="J45" s="978"/>
      <c r="K45" s="978"/>
      <c r="L45" s="978"/>
      <c r="M45" s="978"/>
      <c r="N45" s="978"/>
      <c r="O45" s="978"/>
      <c r="P45" s="978"/>
      <c r="Q45" s="978"/>
      <c r="R45" s="978"/>
      <c r="S45" s="978"/>
      <c r="T45" s="978"/>
      <c r="U45" s="978"/>
      <c r="V45" s="978"/>
      <c r="W45" s="978"/>
      <c r="X45" s="978"/>
      <c r="Y45" s="978"/>
      <c r="Z45" s="978"/>
      <c r="AA45" s="978"/>
      <c r="AB45" s="2237"/>
      <c r="AC45" s="904"/>
      <c r="AD45" s="904"/>
      <c r="AE45" s="904"/>
      <c r="AF45" s="904"/>
      <c r="AG45" s="61"/>
    </row>
    <row r="46" spans="1:67" ht="36.75" customHeight="1">
      <c r="B46" s="1638" t="s">
        <v>134</v>
      </c>
      <c r="C46" s="1638"/>
      <c r="D46" s="1638"/>
      <c r="E46" s="1638"/>
      <c r="F46" s="1638"/>
      <c r="G46" s="1638"/>
      <c r="H46" s="1638"/>
      <c r="I46" s="1540"/>
      <c r="J46" s="1540"/>
      <c r="K46" s="1540"/>
      <c r="L46" s="1540"/>
      <c r="M46" s="1540"/>
      <c r="N46" s="1540"/>
      <c r="O46" s="1540"/>
      <c r="P46" s="1540"/>
      <c r="Q46" s="1540"/>
      <c r="R46" s="1540"/>
      <c r="S46" s="1540"/>
      <c r="T46" s="1540"/>
      <c r="U46" s="1540"/>
      <c r="V46" s="1540"/>
      <c r="W46" s="1540"/>
      <c r="X46" s="1540"/>
      <c r="Y46" s="1540"/>
      <c r="Z46" s="1540"/>
      <c r="AA46" s="2418"/>
      <c r="AB46" s="2418"/>
      <c r="AC46" s="2419"/>
      <c r="AD46" s="945"/>
      <c r="AE46" s="945"/>
      <c r="AF46" s="945"/>
      <c r="AG46" s="60"/>
      <c r="AJ46" s="1540" t="s">
        <v>134</v>
      </c>
      <c r="AK46" s="1540"/>
      <c r="AL46" s="1540"/>
      <c r="AM46" s="1540"/>
      <c r="AN46" s="1540"/>
      <c r="AO46" s="1540"/>
      <c r="AP46" s="1540"/>
      <c r="AQ46" s="1540"/>
      <c r="AR46" s="1540"/>
      <c r="AS46" s="1540"/>
      <c r="AT46" s="1540"/>
      <c r="AU46" s="1540"/>
      <c r="AV46" s="1540"/>
      <c r="AW46" s="1540"/>
      <c r="AX46" s="1540"/>
      <c r="AY46" s="1540"/>
      <c r="AZ46" s="1540"/>
      <c r="BA46" s="1540"/>
      <c r="BB46" s="1540"/>
      <c r="BC46" s="1540"/>
      <c r="BD46" s="1540"/>
      <c r="BE46" s="1540"/>
      <c r="BF46" s="1540"/>
      <c r="BG46" s="1540"/>
      <c r="BH46" s="1540"/>
      <c r="BI46" s="2418"/>
      <c r="BJ46" s="2418"/>
      <c r="BK46" s="2419"/>
      <c r="BL46" s="945"/>
      <c r="BM46" s="945"/>
      <c r="BN46" s="945"/>
      <c r="BO46" s="60"/>
    </row>
    <row r="47" spans="1:67" ht="51" customHeight="1">
      <c r="B47" s="2871" t="s">
        <v>135</v>
      </c>
      <c r="C47" s="2871"/>
      <c r="D47" s="2871"/>
      <c r="E47" s="2871"/>
      <c r="F47" s="2871"/>
      <c r="G47" s="2871"/>
      <c r="H47" s="2871"/>
      <c r="I47" s="2420"/>
      <c r="J47" s="2420"/>
      <c r="K47" s="2420"/>
      <c r="L47" s="2420"/>
      <c r="M47" s="2420"/>
      <c r="N47" s="2420"/>
      <c r="O47" s="2420"/>
      <c r="P47" s="2420"/>
      <c r="Q47" s="2420"/>
      <c r="R47" s="2420"/>
      <c r="S47" s="2420"/>
      <c r="T47" s="2420"/>
      <c r="U47" s="2420"/>
      <c r="V47" s="2420"/>
      <c r="W47" s="2420"/>
      <c r="X47" s="2420"/>
      <c r="Y47" s="2420"/>
      <c r="Z47" s="2420"/>
      <c r="AA47" s="2412"/>
      <c r="AB47" s="2412"/>
      <c r="AC47" s="2413"/>
      <c r="AD47" s="3128" t="s">
        <v>87</v>
      </c>
      <c r="AE47" s="3128"/>
      <c r="AF47" s="3130" t="s">
        <v>88</v>
      </c>
      <c r="AG47" s="3131"/>
      <c r="AJ47" s="2420" t="s">
        <v>1493</v>
      </c>
      <c r="AK47" s="2420"/>
      <c r="AL47" s="2420"/>
      <c r="AM47" s="2420"/>
      <c r="AN47" s="2420"/>
      <c r="AO47" s="2420"/>
      <c r="AP47" s="2420"/>
      <c r="AQ47" s="2420"/>
      <c r="AR47" s="2420"/>
      <c r="AS47" s="2420"/>
      <c r="AT47" s="2420"/>
      <c r="AU47" s="2420"/>
      <c r="AV47" s="2420"/>
      <c r="AW47" s="2420"/>
      <c r="AX47" s="2420"/>
      <c r="AY47" s="2420"/>
      <c r="AZ47" s="2420"/>
      <c r="BA47" s="2420"/>
      <c r="BB47" s="2420"/>
      <c r="BC47" s="2420"/>
      <c r="BD47" s="2420"/>
      <c r="BE47" s="2420"/>
      <c r="BF47" s="2420"/>
      <c r="BG47" s="2420"/>
      <c r="BH47" s="2420"/>
      <c r="BI47" s="2412"/>
      <c r="BJ47" s="2412"/>
      <c r="BK47" s="2413"/>
      <c r="BL47" s="3128" t="s">
        <v>87</v>
      </c>
      <c r="BM47" s="3128"/>
      <c r="BN47" s="3130" t="s">
        <v>88</v>
      </c>
      <c r="BO47" s="3131"/>
    </row>
    <row r="48" spans="1:67" ht="40.5" customHeight="1">
      <c r="A48" s="966"/>
      <c r="B48" s="1418" t="s">
        <v>126</v>
      </c>
      <c r="C48" s="1419"/>
      <c r="D48" s="1389"/>
      <c r="E48" s="1390"/>
      <c r="F48" s="1391"/>
      <c r="G48" s="1388" t="s">
        <v>1595</v>
      </c>
      <c r="H48" s="1812" t="str">
        <f>MENU!$AC$9</f>
        <v>Thứ 5,</v>
      </c>
      <c r="I48" s="3196" t="str">
        <f>MENU!$AD$9</f>
        <v>2024/08/01</v>
      </c>
      <c r="J48" s="3197"/>
      <c r="K48" s="3197"/>
      <c r="L48" s="3197"/>
      <c r="M48" s="942"/>
      <c r="N48" s="942"/>
      <c r="O48" s="942"/>
      <c r="P48" s="942"/>
      <c r="Q48" s="968"/>
      <c r="R48" s="968"/>
      <c r="S48" s="968"/>
      <c r="T48" s="968"/>
      <c r="U48" s="942"/>
      <c r="V48" s="942"/>
      <c r="W48" s="942"/>
      <c r="X48" s="942"/>
      <c r="Y48" s="968"/>
      <c r="Z48" s="968"/>
      <c r="AA48" s="3208"/>
      <c r="AB48" s="3208"/>
      <c r="AC48" s="940"/>
      <c r="AD48" s="3129" t="str">
        <f>MENU!AE7</f>
        <v>Trang</v>
      </c>
      <c r="AE48" s="3129"/>
      <c r="AF48" s="3204" t="s">
        <v>11</v>
      </c>
      <c r="AG48" s="3133"/>
      <c r="AI48" s="966"/>
      <c r="AJ48" s="1418" t="s">
        <v>126</v>
      </c>
      <c r="AK48" s="1419"/>
      <c r="AL48" s="1389"/>
      <c r="AM48" s="1390"/>
      <c r="AN48" s="1391"/>
      <c r="AO48" s="1388" t="s">
        <v>1595</v>
      </c>
      <c r="AP48" s="1812" t="str">
        <f>MENU!$AC$9</f>
        <v>Thứ 5,</v>
      </c>
      <c r="AQ48" s="3196" t="str">
        <f>MENU!$AD$9</f>
        <v>2024/08/01</v>
      </c>
      <c r="AR48" s="3197"/>
      <c r="AS48" s="3197"/>
      <c r="AT48" s="3197"/>
      <c r="AU48" s="942"/>
      <c r="AV48" s="942"/>
      <c r="AW48" s="942"/>
      <c r="AX48" s="942"/>
      <c r="AY48" s="968"/>
      <c r="AZ48" s="968"/>
      <c r="BA48" s="968"/>
      <c r="BB48" s="968"/>
      <c r="BC48" s="942"/>
      <c r="BD48" s="942"/>
      <c r="BE48" s="942"/>
      <c r="BF48" s="942"/>
      <c r="BG48" s="968"/>
      <c r="BH48" s="968"/>
      <c r="BI48" s="3208"/>
      <c r="BJ48" s="3208"/>
      <c r="BK48" s="940"/>
      <c r="BL48" s="3129" t="str">
        <f>MENU!AE7</f>
        <v>Trang</v>
      </c>
      <c r="BM48" s="3129"/>
      <c r="BN48" s="3204" t="s">
        <v>11</v>
      </c>
      <c r="BO48" s="3133"/>
    </row>
    <row r="49" spans="1:67" s="61" customFormat="1" ht="36.75" customHeight="1">
      <c r="A49" s="3273" t="s">
        <v>7</v>
      </c>
      <c r="B49" s="3151" t="s">
        <v>75</v>
      </c>
      <c r="C49" s="3152"/>
      <c r="D49" s="3152"/>
      <c r="E49" s="3153"/>
      <c r="F49" s="3149" t="s">
        <v>123</v>
      </c>
      <c r="G49" s="3180" t="s">
        <v>1296</v>
      </c>
      <c r="H49" s="3185" t="s">
        <v>1289</v>
      </c>
      <c r="I49" s="3167">
        <v>0.80208333333333337</v>
      </c>
      <c r="J49" s="3168"/>
      <c r="K49" s="3168"/>
      <c r="L49" s="3169"/>
      <c r="M49" s="3123" t="s">
        <v>934</v>
      </c>
      <c r="N49" s="3124"/>
      <c r="O49" s="3124"/>
      <c r="P49" s="3125"/>
      <c r="Q49" s="3167">
        <v>0.96875</v>
      </c>
      <c r="R49" s="3168"/>
      <c r="S49" s="3168"/>
      <c r="T49" s="3169"/>
      <c r="U49" s="3123" t="s">
        <v>934</v>
      </c>
      <c r="V49" s="3124"/>
      <c r="W49" s="3124"/>
      <c r="X49" s="3125"/>
      <c r="Y49" s="3210">
        <v>0.13541666666666666</v>
      </c>
      <c r="Z49" s="3149"/>
      <c r="AA49" s="3149"/>
      <c r="AB49" s="3149"/>
      <c r="AC49" s="3123" t="s">
        <v>934</v>
      </c>
      <c r="AD49" s="3124"/>
      <c r="AE49" s="3124"/>
      <c r="AF49" s="3125"/>
      <c r="AG49" s="3216" t="s">
        <v>38</v>
      </c>
      <c r="AI49" s="3273" t="s">
        <v>7</v>
      </c>
      <c r="AJ49" s="3151" t="s">
        <v>75</v>
      </c>
      <c r="AK49" s="3152"/>
      <c r="AL49" s="3152"/>
      <c r="AM49" s="3153"/>
      <c r="AN49" s="3149" t="s">
        <v>123</v>
      </c>
      <c r="AO49" s="3180" t="s">
        <v>1296</v>
      </c>
      <c r="AP49" s="3185" t="s">
        <v>1289</v>
      </c>
      <c r="AQ49" s="3209">
        <v>0.80208333333333337</v>
      </c>
      <c r="AR49" s="3168"/>
      <c r="AS49" s="3168"/>
      <c r="AT49" s="3169"/>
      <c r="AU49" s="3123" t="s">
        <v>929</v>
      </c>
      <c r="AV49" s="3271"/>
      <c r="AW49" s="3271"/>
      <c r="AX49" s="3272"/>
      <c r="AY49" s="3167">
        <v>0.96875</v>
      </c>
      <c r="AZ49" s="3168"/>
      <c r="BA49" s="3168"/>
      <c r="BB49" s="3169"/>
      <c r="BC49" s="3123" t="s">
        <v>929</v>
      </c>
      <c r="BD49" s="3271"/>
      <c r="BE49" s="3271"/>
      <c r="BF49" s="3272"/>
      <c r="BG49" s="3210">
        <v>0.13541666666666666</v>
      </c>
      <c r="BH49" s="3149"/>
      <c r="BI49" s="3149"/>
      <c r="BJ49" s="3149"/>
      <c r="BK49" s="3123" t="s">
        <v>929</v>
      </c>
      <c r="BL49" s="3271"/>
      <c r="BM49" s="3271"/>
      <c r="BN49" s="3272"/>
      <c r="BO49" s="3216" t="s">
        <v>38</v>
      </c>
    </row>
    <row r="50" spans="1:67" s="61" customFormat="1" ht="48.75" customHeight="1">
      <c r="A50" s="3273"/>
      <c r="B50" s="3154"/>
      <c r="C50" s="3155"/>
      <c r="D50" s="3155"/>
      <c r="E50" s="3156"/>
      <c r="F50" s="3150"/>
      <c r="G50" s="3181"/>
      <c r="H50" s="3186"/>
      <c r="I50" s="948" t="s">
        <v>128</v>
      </c>
      <c r="J50" s="3173" t="s">
        <v>1</v>
      </c>
      <c r="K50" s="3174"/>
      <c r="L50" s="3175"/>
      <c r="M50" s="906" t="s">
        <v>128</v>
      </c>
      <c r="N50" s="3126" t="s">
        <v>1</v>
      </c>
      <c r="O50" s="3126"/>
      <c r="P50" s="3127"/>
      <c r="Q50" s="948" t="s">
        <v>128</v>
      </c>
      <c r="R50" s="3173" t="s">
        <v>1</v>
      </c>
      <c r="S50" s="3174"/>
      <c r="T50" s="3175"/>
      <c r="U50" s="906" t="s">
        <v>128</v>
      </c>
      <c r="V50" s="3126" t="s">
        <v>1</v>
      </c>
      <c r="W50" s="3126"/>
      <c r="X50" s="3127"/>
      <c r="Y50" s="948" t="s">
        <v>128</v>
      </c>
      <c r="Z50" s="3173" t="s">
        <v>1</v>
      </c>
      <c r="AA50" s="3174"/>
      <c r="AB50" s="3175"/>
      <c r="AC50" s="906" t="s">
        <v>128</v>
      </c>
      <c r="AD50" s="3126" t="s">
        <v>1</v>
      </c>
      <c r="AE50" s="3126"/>
      <c r="AF50" s="3127"/>
      <c r="AG50" s="3217"/>
      <c r="AI50" s="3273"/>
      <c r="AJ50" s="3154"/>
      <c r="AK50" s="3155"/>
      <c r="AL50" s="3155"/>
      <c r="AM50" s="3156"/>
      <c r="AN50" s="3150"/>
      <c r="AO50" s="3181"/>
      <c r="AP50" s="3186"/>
      <c r="AQ50" s="2189" t="s">
        <v>128</v>
      </c>
      <c r="AR50" s="3173" t="s">
        <v>1</v>
      </c>
      <c r="AS50" s="3174"/>
      <c r="AT50" s="3175"/>
      <c r="AU50" s="906" t="s">
        <v>128</v>
      </c>
      <c r="AV50" s="3126" t="s">
        <v>1</v>
      </c>
      <c r="AW50" s="3126"/>
      <c r="AX50" s="3127"/>
      <c r="AY50" s="948" t="s">
        <v>128</v>
      </c>
      <c r="AZ50" s="3173" t="s">
        <v>1</v>
      </c>
      <c r="BA50" s="3174"/>
      <c r="BB50" s="3175"/>
      <c r="BC50" s="906" t="s">
        <v>128</v>
      </c>
      <c r="BD50" s="3126" t="s">
        <v>1</v>
      </c>
      <c r="BE50" s="3126"/>
      <c r="BF50" s="3127"/>
      <c r="BG50" s="948" t="s">
        <v>128</v>
      </c>
      <c r="BH50" s="3173" t="s">
        <v>1</v>
      </c>
      <c r="BI50" s="3174"/>
      <c r="BJ50" s="3175"/>
      <c r="BK50" s="906" t="s">
        <v>128</v>
      </c>
      <c r="BL50" s="3126" t="s">
        <v>1</v>
      </c>
      <c r="BM50" s="3126"/>
      <c r="BN50" s="3127"/>
      <c r="BO50" s="3217"/>
    </row>
    <row r="51" spans="1:67" ht="38.25" customHeight="1">
      <c r="A51" s="3249">
        <v>1</v>
      </c>
      <c r="B51" s="3251" t="s">
        <v>940</v>
      </c>
      <c r="C51" s="3252"/>
      <c r="D51" s="3164" t="s">
        <v>229</v>
      </c>
      <c r="E51" s="3165"/>
      <c r="F51" s="2882" t="s">
        <v>4</v>
      </c>
      <c r="G51" s="897" t="str">
        <f>'[6]XM.FILE GOC'!$E$78</f>
        <v>40~60</v>
      </c>
      <c r="H51" s="2202" t="str">
        <f>'XM.FILE GOC'!$F$78</f>
        <v>(50±5)</v>
      </c>
      <c r="I51" s="1398">
        <f>'XM.FILE GOC'!AD78</f>
        <v>0</v>
      </c>
      <c r="J51" s="969" t="s">
        <v>8</v>
      </c>
      <c r="K51" s="970">
        <f>'XM.FILE GOC'!AG78</f>
        <v>775.85</v>
      </c>
      <c r="L51" s="971" t="s">
        <v>9</v>
      </c>
      <c r="M51" s="907"/>
      <c r="N51" s="910" t="str">
        <f>IF(M51="","","+")</f>
        <v/>
      </c>
      <c r="O51" s="1588" t="str">
        <f>IF(M51=0,"",('XM.FILE GOC'!$G$78-M51)*15517/1000)</f>
        <v/>
      </c>
      <c r="P51" s="2895" t="str">
        <f>IF(O51="","","kg")</f>
        <v/>
      </c>
      <c r="Q51" s="1398">
        <f>'XM.FILE GOC'!AK78</f>
        <v>0</v>
      </c>
      <c r="R51" s="969" t="s">
        <v>8</v>
      </c>
      <c r="S51" s="970">
        <f>'XM.FILE GOC'!AN78</f>
        <v>775.85</v>
      </c>
      <c r="T51" s="971" t="s">
        <v>9</v>
      </c>
      <c r="U51" s="907"/>
      <c r="V51" s="910" t="str">
        <f>IF(U51="","","+")</f>
        <v/>
      </c>
      <c r="W51" s="1588" t="str">
        <f>IF(U51=0,"",('XM.FILE GOC'!$G$78-U51)*15517/1000)</f>
        <v/>
      </c>
      <c r="X51" s="2895" t="str">
        <f>IF(W51="","","kg")</f>
        <v/>
      </c>
      <c r="Y51" s="1398">
        <f>'XM.FILE GOC'!AR78</f>
        <v>0</v>
      </c>
      <c r="Z51" s="969" t="s">
        <v>8</v>
      </c>
      <c r="AA51" s="970">
        <f>'XM.FILE GOC'!AU78</f>
        <v>775.85</v>
      </c>
      <c r="AB51" s="971" t="s">
        <v>9</v>
      </c>
      <c r="AC51" s="907"/>
      <c r="AD51" s="910" t="str">
        <f>IF(AC51="","","+")</f>
        <v/>
      </c>
      <c r="AE51" s="1588" t="str">
        <f>IF(AC51=0,"",('XM.FILE GOC'!$G$78-AC51)*15517/1000)</f>
        <v/>
      </c>
      <c r="AF51" s="2895" t="str">
        <f>IF(AE51="","","kg")</f>
        <v/>
      </c>
      <c r="AG51" s="69" t="s">
        <v>39</v>
      </c>
      <c r="AI51" s="2675">
        <v>1</v>
      </c>
      <c r="AJ51" s="3303" t="s">
        <v>1663</v>
      </c>
      <c r="AK51" s="3303"/>
      <c r="AL51" s="3303" t="s">
        <v>115</v>
      </c>
      <c r="AM51" s="3303"/>
      <c r="AN51" s="2049" t="s">
        <v>4</v>
      </c>
      <c r="AO51" s="2048" t="str">
        <f>'XM.GUI MAIL'!$E$99</f>
        <v>5~6</v>
      </c>
      <c r="AP51" s="2217" t="str">
        <f>'XM.GUI MAIL'!$F$99</f>
        <v>(5.5± 0.5)</v>
      </c>
      <c r="AQ51" s="2205">
        <f>'XM.FILE GOC'!AD99</f>
        <v>0</v>
      </c>
      <c r="AR51" s="969" t="s">
        <v>8</v>
      </c>
      <c r="AS51" s="2804">
        <f>'XM.FILE GOC'!AG99</f>
        <v>44</v>
      </c>
      <c r="AT51" s="2799" t="s">
        <v>9</v>
      </c>
      <c r="AU51" s="1573"/>
      <c r="AV51" s="910" t="str">
        <f>IF(AU51="","","+")</f>
        <v/>
      </c>
      <c r="AW51" s="1589" t="str">
        <f>IF(AU51=0,"",('XM.FILE GOC'!$G$99-AU51)*8000/1000)</f>
        <v/>
      </c>
      <c r="AX51" s="2895" t="str">
        <f>IF(AW51="","","kg")</f>
        <v/>
      </c>
      <c r="AY51" s="1398">
        <f>'XM.FILE GOC'!AK99</f>
        <v>0</v>
      </c>
      <c r="AZ51" s="969" t="s">
        <v>8</v>
      </c>
      <c r="BA51" s="2804">
        <f>'XM.FILE GOC'!AN99</f>
        <v>44</v>
      </c>
      <c r="BB51" s="2799" t="s">
        <v>9</v>
      </c>
      <c r="BC51" s="1573"/>
      <c r="BD51" s="910" t="str">
        <f>IF(BC51="","","+")</f>
        <v/>
      </c>
      <c r="BE51" s="1589" t="str">
        <f>IF(BC51=0,"",('XM.FILE GOC'!$G$99-BC51)*8000/1000)</f>
        <v/>
      </c>
      <c r="BF51" s="2895" t="str">
        <f>IF(BE51="","","kg")</f>
        <v/>
      </c>
      <c r="BG51" s="1398">
        <f>'XM.FILE GOC'!AR99</f>
        <v>0</v>
      </c>
      <c r="BH51" s="969" t="s">
        <v>8</v>
      </c>
      <c r="BI51" s="2804">
        <f>'XM.FILE GOC'!AU99</f>
        <v>44</v>
      </c>
      <c r="BJ51" s="2799" t="s">
        <v>9</v>
      </c>
      <c r="BK51" s="1573"/>
      <c r="BL51" s="910" t="str">
        <f>IF(BK51="","","+")</f>
        <v/>
      </c>
      <c r="BM51" s="1589" t="str">
        <f>IF(BK51=0,"",('XM.FILE GOC'!$G$99-BK51)*8000/1000)</f>
        <v/>
      </c>
      <c r="BN51" s="2895" t="str">
        <f>IF(BM51="","","kg")</f>
        <v/>
      </c>
      <c r="BO51" s="2790" t="s">
        <v>40</v>
      </c>
    </row>
    <row r="52" spans="1:67" ht="38.25" customHeight="1">
      <c r="A52" s="3250"/>
      <c r="B52" s="3253"/>
      <c r="C52" s="3254"/>
      <c r="D52" s="3164" t="s">
        <v>230</v>
      </c>
      <c r="E52" s="3165"/>
      <c r="F52" s="896"/>
      <c r="G52" s="897" t="s">
        <v>1479</v>
      </c>
      <c r="H52" s="2202"/>
      <c r="I52" s="1676"/>
      <c r="J52" s="58"/>
      <c r="K52" s="952">
        <f>K51/25*8.5</f>
        <v>263.78900000000004</v>
      </c>
      <c r="L52" s="587" t="s">
        <v>10</v>
      </c>
      <c r="M52" s="907"/>
      <c r="N52" s="910" t="str">
        <f>IF(M51="","","+")</f>
        <v/>
      </c>
      <c r="O52" s="1586" t="str">
        <f>IF(M51=0,"",O51/25*8.5)</f>
        <v/>
      </c>
      <c r="P52" s="2895" t="str">
        <f>IF(O51="","","L")</f>
        <v/>
      </c>
      <c r="Q52" s="1676"/>
      <c r="R52" s="58"/>
      <c r="S52" s="952">
        <f>S51/25*8.5</f>
        <v>263.78900000000004</v>
      </c>
      <c r="T52" s="587" t="s">
        <v>10</v>
      </c>
      <c r="U52" s="907"/>
      <c r="V52" s="910" t="str">
        <f>IF(U51="","","+")</f>
        <v/>
      </c>
      <c r="W52" s="1586" t="str">
        <f>IF(U51=0,"",W51/25*8.5)</f>
        <v/>
      </c>
      <c r="X52" s="2895" t="str">
        <f>IF(W51="","","L")</f>
        <v/>
      </c>
      <c r="Y52" s="1676"/>
      <c r="Z52" s="58"/>
      <c r="AA52" s="952">
        <f>AA51/25*8.5</f>
        <v>263.78900000000004</v>
      </c>
      <c r="AB52" s="587" t="s">
        <v>10</v>
      </c>
      <c r="AC52" s="907"/>
      <c r="AD52" s="910" t="str">
        <f>IF(AC51="","","+")</f>
        <v/>
      </c>
      <c r="AE52" s="1586" t="str">
        <f>IF(AC51=0,"",AE51/25*8.5)</f>
        <v/>
      </c>
      <c r="AF52" s="2895" t="str">
        <f>IF(AE51="","","L")</f>
        <v/>
      </c>
      <c r="AG52" s="69"/>
      <c r="AI52" s="2851">
        <v>2</v>
      </c>
      <c r="AJ52" s="3303"/>
      <c r="AK52" s="3303"/>
      <c r="AL52" s="3303" t="s">
        <v>99</v>
      </c>
      <c r="AM52" s="3303"/>
      <c r="AN52" s="2049" t="s">
        <v>4</v>
      </c>
      <c r="AO52" s="2048" t="str">
        <f>'XM.GUI MAIL'!$E$100</f>
        <v>130~140</v>
      </c>
      <c r="AP52" s="2801" t="str">
        <f>'XM.GUI MAIL'!$F$100</f>
        <v>(135 ± 5)</v>
      </c>
      <c r="AQ52" s="53">
        <f>'XM.FILE GOC'!AD100</f>
        <v>0</v>
      </c>
      <c r="AR52" s="969" t="s">
        <v>8</v>
      </c>
      <c r="AS52" s="2804">
        <f>'XM.FILE GOC'!AG100</f>
        <v>1080</v>
      </c>
      <c r="AT52" s="2799" t="s">
        <v>9</v>
      </c>
      <c r="AU52" s="1573"/>
      <c r="AV52" s="910" t="str">
        <f>IF(AU52="","","+")</f>
        <v/>
      </c>
      <c r="AW52" s="1589" t="str">
        <f>IF(AU52=0,"",('XM.FILE GOC'!$G$100-AU52)*8000/1000)</f>
        <v/>
      </c>
      <c r="AX52" s="2895" t="str">
        <f>IF(AW52="","","kg")</f>
        <v/>
      </c>
      <c r="AY52" s="53">
        <f>'XM.FILE GOC'!AK100</f>
        <v>0</v>
      </c>
      <c r="AZ52" s="969" t="s">
        <v>8</v>
      </c>
      <c r="BA52" s="2804">
        <f>'XM.FILE GOC'!AN100</f>
        <v>1080</v>
      </c>
      <c r="BB52" s="2799" t="s">
        <v>9</v>
      </c>
      <c r="BC52" s="1573"/>
      <c r="BD52" s="910" t="str">
        <f>IF(BC52="","","+")</f>
        <v/>
      </c>
      <c r="BE52" s="1589" t="str">
        <f>IF(BC52=0,"",('XM.FILE GOC'!$G$100-BC52)*8000/1000)</f>
        <v/>
      </c>
      <c r="BF52" s="2895" t="str">
        <f>IF(BE52="","","kg")</f>
        <v/>
      </c>
      <c r="BG52" s="53">
        <f>'XM.FILE GOC'!AR100</f>
        <v>0</v>
      </c>
      <c r="BH52" s="969" t="s">
        <v>8</v>
      </c>
      <c r="BI52" s="2804">
        <f>'XM.FILE GOC'!AU100</f>
        <v>1080</v>
      </c>
      <c r="BJ52" s="2800" t="s">
        <v>9</v>
      </c>
      <c r="BK52" s="1573"/>
      <c r="BL52" s="910" t="str">
        <f>IF(BK52="","","+")</f>
        <v/>
      </c>
      <c r="BM52" s="1589" t="str">
        <f>IF(BK52=0,"",('XM.FILE GOC'!$G$100-BK52)*8000/1000)</f>
        <v/>
      </c>
      <c r="BN52" s="2895" t="str">
        <f>IF(BM52="","","kg")</f>
        <v/>
      </c>
      <c r="BO52" s="2790" t="s">
        <v>41</v>
      </c>
    </row>
    <row r="53" spans="1:67" ht="38.25" customHeight="1">
      <c r="A53" s="3249">
        <v>2</v>
      </c>
      <c r="B53" s="3251" t="s">
        <v>941</v>
      </c>
      <c r="C53" s="3252"/>
      <c r="D53" s="3164" t="s">
        <v>229</v>
      </c>
      <c r="E53" s="3165"/>
      <c r="F53" s="2882" t="s">
        <v>4</v>
      </c>
      <c r="G53" s="897" t="str">
        <f>'[6]XM.FILE GOC'!$E$80</f>
        <v>40~60</v>
      </c>
      <c r="H53" s="2202" t="str">
        <f>'XM.FILE GOC'!$F$80</f>
        <v>(50±5)</v>
      </c>
      <c r="I53" s="1398">
        <f>'XM.FILE GOC'!AD80</f>
        <v>0</v>
      </c>
      <c r="J53" s="969" t="s">
        <v>8</v>
      </c>
      <c r="K53" s="970">
        <f>'XM.FILE GOC'!AG80</f>
        <v>573.75</v>
      </c>
      <c r="L53" s="971" t="s">
        <v>9</v>
      </c>
      <c r="M53" s="907"/>
      <c r="N53" s="910" t="str">
        <f>IF(M53="","","+")</f>
        <v/>
      </c>
      <c r="O53" s="1588" t="str">
        <f>IF(M53=0,"",('XM.FILE GOC'!$G$80-M53)*11475/1000)</f>
        <v/>
      </c>
      <c r="P53" s="2895" t="str">
        <f>IF(O53="","","kg")</f>
        <v/>
      </c>
      <c r="Q53" s="1398">
        <f>'XM.FILE GOC'!AK80</f>
        <v>0</v>
      </c>
      <c r="R53" s="969" t="s">
        <v>8</v>
      </c>
      <c r="S53" s="970">
        <f>'XM.FILE GOC'!AN80</f>
        <v>573.75</v>
      </c>
      <c r="T53" s="971" t="s">
        <v>9</v>
      </c>
      <c r="U53" s="907"/>
      <c r="V53" s="910" t="str">
        <f>IF(U53="","","+")</f>
        <v/>
      </c>
      <c r="W53" s="1588" t="str">
        <f>IF(U53=0,"",('XM.FILE GOC'!$G$80-U53)*11475/1000)</f>
        <v/>
      </c>
      <c r="X53" s="2895" t="str">
        <f>IF(W53="","","kg")</f>
        <v/>
      </c>
      <c r="Y53" s="1398">
        <f>'XM.FILE GOC'!AR80</f>
        <v>0</v>
      </c>
      <c r="Z53" s="969" t="s">
        <v>8</v>
      </c>
      <c r="AA53" s="970">
        <f>'XM.FILE GOC'!AU80</f>
        <v>573.75</v>
      </c>
      <c r="AB53" s="971" t="s">
        <v>9</v>
      </c>
      <c r="AC53" s="907"/>
      <c r="AD53" s="910" t="str">
        <f>IF(AC53="","","+")</f>
        <v/>
      </c>
      <c r="AE53" s="1588" t="str">
        <f>IF(AC53=0,"",('XM.FILE GOC'!$G$80-AC53)*11475/1000)</f>
        <v/>
      </c>
      <c r="AF53" s="2895" t="str">
        <f>IF(AE53="","","kg")</f>
        <v/>
      </c>
      <c r="AG53" s="69" t="s">
        <v>39</v>
      </c>
      <c r="AI53" s="2672">
        <v>3</v>
      </c>
      <c r="AJ53" s="3304" t="s">
        <v>1664</v>
      </c>
      <c r="AK53" s="3304"/>
      <c r="AL53" s="3304"/>
      <c r="AM53" s="3304"/>
      <c r="AN53" s="2795" t="s">
        <v>5</v>
      </c>
      <c r="AO53" s="2048" t="str">
        <f>'XM.GUI MAIL'!$E$101</f>
        <v>3.0-4.5</v>
      </c>
      <c r="AP53" s="2217" t="str">
        <f>'XM.GUI MAIL'!$F$101</f>
        <v>(4.3±0.2)</v>
      </c>
      <c r="AQ53" s="594">
        <f>'XM.FILE GOC'!AD101</f>
        <v>0</v>
      </c>
      <c r="AR53" s="969"/>
      <c r="AS53" s="2804"/>
      <c r="AT53" s="2799"/>
      <c r="AU53" s="1573"/>
      <c r="AV53" s="910"/>
      <c r="AW53" s="1588"/>
      <c r="AX53" s="911"/>
      <c r="AY53" s="594">
        <f>'XM.FILE GOC'!AK101</f>
        <v>0</v>
      </c>
      <c r="AZ53" s="969"/>
      <c r="BA53" s="2804"/>
      <c r="BB53" s="2799"/>
      <c r="BC53" s="1573"/>
      <c r="BD53" s="910"/>
      <c r="BE53" s="1588"/>
      <c r="BF53" s="911"/>
      <c r="BG53" s="594">
        <f>'XM.FILE GOC'!AR101</f>
        <v>0</v>
      </c>
      <c r="BH53" s="969"/>
      <c r="BI53" s="2804"/>
      <c r="BJ53" s="2799"/>
      <c r="BK53" s="1573"/>
      <c r="BL53" s="910"/>
      <c r="BM53" s="1588"/>
      <c r="BN53" s="911"/>
      <c r="BO53" s="2790" t="s">
        <v>42</v>
      </c>
    </row>
    <row r="54" spans="1:67" ht="38.25" customHeight="1">
      <c r="A54" s="3250"/>
      <c r="B54" s="3253"/>
      <c r="C54" s="3254"/>
      <c r="D54" s="3164" t="s">
        <v>230</v>
      </c>
      <c r="E54" s="3165"/>
      <c r="F54" s="896"/>
      <c r="G54" s="897" t="s">
        <v>1479</v>
      </c>
      <c r="H54" s="2202"/>
      <c r="I54" s="1676"/>
      <c r="J54" s="58"/>
      <c r="K54" s="952">
        <f>K53/25*8.5</f>
        <v>195.07499999999999</v>
      </c>
      <c r="L54" s="587" t="s">
        <v>10</v>
      </c>
      <c r="M54" s="907"/>
      <c r="N54" s="910" t="str">
        <f>IF(M53="","","+")</f>
        <v/>
      </c>
      <c r="O54" s="1586" t="str">
        <f>IF(M53=0,"",O53/25*8.5)</f>
        <v/>
      </c>
      <c r="P54" s="2895" t="str">
        <f>IF(O53="","","L")</f>
        <v/>
      </c>
      <c r="Q54" s="1676"/>
      <c r="R54" s="58"/>
      <c r="S54" s="952">
        <f>S53/25*8.5</f>
        <v>195.07499999999999</v>
      </c>
      <c r="T54" s="587" t="s">
        <v>10</v>
      </c>
      <c r="U54" s="907"/>
      <c r="V54" s="910" t="str">
        <f>IF(U53="","","+")</f>
        <v/>
      </c>
      <c r="W54" s="1586" t="str">
        <f>IF(U53=0,"",W53/25*8.5)</f>
        <v/>
      </c>
      <c r="X54" s="2895" t="str">
        <f>IF(W53="","","L")</f>
        <v/>
      </c>
      <c r="Y54" s="1676"/>
      <c r="Z54" s="58"/>
      <c r="AA54" s="952">
        <f>AA53/25*8.5</f>
        <v>195.07499999999999</v>
      </c>
      <c r="AB54" s="587" t="s">
        <v>10</v>
      </c>
      <c r="AC54" s="907"/>
      <c r="AD54" s="910" t="str">
        <f>IF(AC53="","","+")</f>
        <v/>
      </c>
      <c r="AE54" s="1586" t="str">
        <f>IF(AC53=0,"",AE53/25*8.5)</f>
        <v/>
      </c>
      <c r="AF54" s="2895" t="str">
        <f>IF(AE53="","","L")</f>
        <v/>
      </c>
      <c r="AG54" s="69"/>
      <c r="AI54" s="2671">
        <v>4</v>
      </c>
      <c r="AJ54" s="3248" t="s">
        <v>1631</v>
      </c>
      <c r="AK54" s="3248"/>
      <c r="AL54" s="3248"/>
      <c r="AM54" s="3248"/>
      <c r="AN54" s="2796" t="s">
        <v>54</v>
      </c>
      <c r="AO54" s="2797">
        <f>'XM.GUI MAIL'!$E$102</f>
        <v>0</v>
      </c>
      <c r="AP54" s="2798">
        <f>'XM.GUI MAIL'!$F$102</f>
        <v>0</v>
      </c>
      <c r="AQ54" s="978">
        <f>'XM.FILE GOC'!AD102</f>
        <v>0</v>
      </c>
      <c r="AR54" s="2106" t="s">
        <v>8</v>
      </c>
      <c r="AS54" s="2107">
        <f>'XM.FILE GOC'!AG102</f>
        <v>201.6</v>
      </c>
      <c r="AT54" s="2108" t="s">
        <v>9</v>
      </c>
      <c r="AU54" s="2802"/>
      <c r="AV54" s="910" t="str">
        <f>IF(AU54="","","+")</f>
        <v/>
      </c>
      <c r="AW54" s="2803" t="str">
        <f>IF(AU54=0,"",('XM.FILE GOC'!$G$102-AU54)*3360/1000)</f>
        <v/>
      </c>
      <c r="AX54" s="2895" t="str">
        <f>IF(AW54="","","kg")</f>
        <v/>
      </c>
      <c r="AY54" s="2850">
        <f>'XM.FILE GOC'!AK102</f>
        <v>0</v>
      </c>
      <c r="AZ54" s="2842" t="s">
        <v>8</v>
      </c>
      <c r="BA54" s="2843">
        <f>'XM.FILE GOC'!AN102</f>
        <v>201.6</v>
      </c>
      <c r="BB54" s="2844" t="s">
        <v>9</v>
      </c>
      <c r="BC54" s="2845"/>
      <c r="BD54" s="910" t="str">
        <f>IF(BC54="","","+")</f>
        <v/>
      </c>
      <c r="BE54" s="2847" t="str">
        <f>IF(BC54=0,"",('XM.FILE GOC'!$G$102-BC54)*3360/1000)</f>
        <v/>
      </c>
      <c r="BF54" s="2895" t="str">
        <f>IF(BE54="","","kg")</f>
        <v/>
      </c>
      <c r="BG54" s="2850">
        <f>'XM.FILE GOC'!AR102</f>
        <v>0</v>
      </c>
      <c r="BH54" s="2842" t="s">
        <v>8</v>
      </c>
      <c r="BI54" s="2843">
        <f>'XM.FILE GOC'!AU102</f>
        <v>201.6</v>
      </c>
      <c r="BJ54" s="2849" t="s">
        <v>9</v>
      </c>
      <c r="BK54" s="2845"/>
      <c r="BL54" s="910" t="str">
        <f>IF(BK54="","","+")</f>
        <v/>
      </c>
      <c r="BM54" s="2847" t="str">
        <f>IF(BK54=0,"",('XM.FILE GOC'!$G$102-BK54)*3360/1000)</f>
        <v/>
      </c>
      <c r="BN54" s="2895" t="str">
        <f>IF(BM54="","","kg")</f>
        <v/>
      </c>
      <c r="BO54" s="2790"/>
    </row>
    <row r="55" spans="1:67" ht="38.25" customHeight="1">
      <c r="A55" s="3249">
        <v>3</v>
      </c>
      <c r="B55" s="3162" t="s">
        <v>942</v>
      </c>
      <c r="C55" s="3163"/>
      <c r="D55" s="3256" t="s">
        <v>231</v>
      </c>
      <c r="E55" s="3257" t="s">
        <v>231</v>
      </c>
      <c r="F55" s="2881" t="s">
        <v>4</v>
      </c>
      <c r="G55" s="897" t="str">
        <f>'[6]XM.GUI MAIL'!$E$82</f>
        <v>50~70</v>
      </c>
      <c r="H55" s="2202" t="str">
        <f>'XM.FILE GOC'!$F$82</f>
        <v>(60±5)</v>
      </c>
      <c r="I55" s="1398">
        <f>'XM.FILE GOC'!AD82</f>
        <v>0</v>
      </c>
      <c r="J55" s="58" t="s">
        <v>8</v>
      </c>
      <c r="K55" s="586">
        <f>'XM.FILE GOC'!AG82</f>
        <v>492</v>
      </c>
      <c r="L55" s="587" t="s">
        <v>9</v>
      </c>
      <c r="M55" s="907"/>
      <c r="N55" s="910" t="str">
        <f>IF(M55="","","+")</f>
        <v/>
      </c>
      <c r="O55" s="1588" t="str">
        <f>IF(M55=0,"",('XM.FILE GOC'!$G$82-M55)*8200/1000)</f>
        <v/>
      </c>
      <c r="P55" s="2895" t="str">
        <f>IF(O55="","","kg")</f>
        <v/>
      </c>
      <c r="Q55" s="1398">
        <f>'XM.FILE GOC'!AK82</f>
        <v>0</v>
      </c>
      <c r="R55" s="58" t="s">
        <v>8</v>
      </c>
      <c r="S55" s="586">
        <f>'XM.FILE GOC'!AN82</f>
        <v>492</v>
      </c>
      <c r="T55" s="587" t="s">
        <v>9</v>
      </c>
      <c r="U55" s="907"/>
      <c r="V55" s="910" t="str">
        <f>IF(U55="","","+")</f>
        <v/>
      </c>
      <c r="W55" s="1588" t="str">
        <f>IF(U55=0,"",('XM.FILE GOC'!$G$82-U55)*8200/1000)</f>
        <v/>
      </c>
      <c r="X55" s="2895" t="str">
        <f>IF(W55="","","kg")</f>
        <v/>
      </c>
      <c r="Y55" s="1398">
        <f>'XM.FILE GOC'!AR82</f>
        <v>0</v>
      </c>
      <c r="Z55" s="58" t="s">
        <v>8</v>
      </c>
      <c r="AA55" s="586">
        <f>'XM.FILE GOC'!AU82</f>
        <v>492</v>
      </c>
      <c r="AB55" s="971" t="s">
        <v>9</v>
      </c>
      <c r="AC55" s="907"/>
      <c r="AD55" s="910" t="str">
        <f>IF(AC55="","","+")</f>
        <v/>
      </c>
      <c r="AE55" s="1588" t="str">
        <f>IF(AC55=0,"",('XM.FILE GOC'!$G$82-AC55)*8200/1000)</f>
        <v/>
      </c>
      <c r="AF55" s="2895" t="str">
        <f>IF(AE55="","","kg")</f>
        <v/>
      </c>
      <c r="AG55" s="69" t="s">
        <v>39</v>
      </c>
      <c r="AI55" s="2671"/>
      <c r="AJ55" s="2421" t="s">
        <v>1298</v>
      </c>
      <c r="AK55" s="2422"/>
      <c r="AL55" s="2422"/>
      <c r="AM55" s="2422"/>
      <c r="AN55" s="2422"/>
      <c r="AO55" s="2422"/>
      <c r="AP55" s="2422"/>
      <c r="AQ55" s="2422"/>
      <c r="AR55" s="2422"/>
      <c r="AS55" s="2422"/>
      <c r="AT55" s="2422"/>
      <c r="AU55" s="2422"/>
      <c r="AV55" s="2422"/>
      <c r="AW55" s="2422"/>
      <c r="AX55" s="2422"/>
      <c r="AY55" s="2422"/>
      <c r="AZ55" s="2422"/>
      <c r="BA55" s="2422"/>
      <c r="BB55" s="2422"/>
      <c r="BC55" s="2422"/>
      <c r="BD55" s="2422"/>
      <c r="BE55" s="2422"/>
      <c r="BF55" s="2422"/>
      <c r="BG55" s="2422"/>
      <c r="BH55" s="2422"/>
      <c r="BI55" s="2422"/>
      <c r="BJ55" s="2422"/>
      <c r="BK55" s="2422"/>
      <c r="BL55" s="2422"/>
      <c r="BM55" s="2422"/>
      <c r="BN55" s="2422"/>
      <c r="BO55" s="2423"/>
    </row>
    <row r="56" spans="1:67" ht="38.25" customHeight="1">
      <c r="A56" s="3255"/>
      <c r="B56" s="3163"/>
      <c r="C56" s="3163"/>
      <c r="D56" s="3256" t="s">
        <v>232</v>
      </c>
      <c r="E56" s="3257" t="s">
        <v>232</v>
      </c>
      <c r="F56" s="1004"/>
      <c r="G56" s="897" t="s">
        <v>1656</v>
      </c>
      <c r="H56" s="2202"/>
      <c r="I56" s="1676"/>
      <c r="J56" s="58"/>
      <c r="K56" s="952">
        <f>K55/25*8</f>
        <v>157.44</v>
      </c>
      <c r="L56" s="587" t="s">
        <v>10</v>
      </c>
      <c r="M56" s="907"/>
      <c r="N56" s="910" t="str">
        <f>IF(M55="","","+")</f>
        <v/>
      </c>
      <c r="O56" s="1586" t="str">
        <f>IF(M55=0,"",O55/25*8)</f>
        <v/>
      </c>
      <c r="P56" s="2895" t="str">
        <f>IF(O55="","","L")</f>
        <v/>
      </c>
      <c r="Q56" s="1676"/>
      <c r="R56" s="58"/>
      <c r="S56" s="952">
        <f>S55/25*8</f>
        <v>157.44</v>
      </c>
      <c r="T56" s="587" t="s">
        <v>10</v>
      </c>
      <c r="U56" s="907"/>
      <c r="V56" s="910" t="str">
        <f>IF(U55="","","+")</f>
        <v/>
      </c>
      <c r="W56" s="1586" t="str">
        <f>IF(U55=0,"",W55/25*8)</f>
        <v/>
      </c>
      <c r="X56" s="2895" t="str">
        <f>IF(W55="","","L")</f>
        <v/>
      </c>
      <c r="Y56" s="1676"/>
      <c r="Z56" s="58"/>
      <c r="AA56" s="952">
        <f>AA55/25*8</f>
        <v>157.44</v>
      </c>
      <c r="AB56" s="587" t="s">
        <v>10</v>
      </c>
      <c r="AC56" s="907"/>
      <c r="AD56" s="910" t="str">
        <f>IF(AC55="","","+")</f>
        <v/>
      </c>
      <c r="AE56" s="1586" t="str">
        <f>IF(AC55=0,"",AE55/25*8)</f>
        <v/>
      </c>
      <c r="AF56" s="2895" t="str">
        <f>IF(AE55="","","L")</f>
        <v/>
      </c>
      <c r="AG56" s="69"/>
      <c r="AI56" s="2671"/>
      <c r="AJ56" s="3310" t="s">
        <v>948</v>
      </c>
      <c r="AK56" s="3311"/>
      <c r="AL56" s="3311"/>
      <c r="AM56" s="3312"/>
      <c r="AN56" s="2670" t="s">
        <v>949</v>
      </c>
      <c r="AO56" s="2670" t="s">
        <v>1296</v>
      </c>
      <c r="AP56" s="2204" t="s">
        <v>1289</v>
      </c>
      <c r="AQ56" s="3227" t="s">
        <v>950</v>
      </c>
      <c r="AR56" s="3228"/>
      <c r="AS56" s="3229" t="s">
        <v>951</v>
      </c>
      <c r="AT56" s="3228"/>
      <c r="AU56" s="917"/>
      <c r="AV56" s="918"/>
      <c r="AW56" s="918"/>
      <c r="AX56" s="919"/>
      <c r="AY56" s="3229" t="s">
        <v>950</v>
      </c>
      <c r="AZ56" s="3228"/>
      <c r="BA56" s="3229" t="s">
        <v>951</v>
      </c>
      <c r="BB56" s="3228"/>
      <c r="BC56" s="917"/>
      <c r="BD56" s="918"/>
      <c r="BE56" s="918"/>
      <c r="BF56" s="919"/>
      <c r="BG56" s="3229" t="s">
        <v>950</v>
      </c>
      <c r="BH56" s="3228"/>
      <c r="BI56" s="3229" t="s">
        <v>951</v>
      </c>
      <c r="BJ56" s="3228"/>
      <c r="BK56" s="917"/>
      <c r="BL56" s="918"/>
      <c r="BM56" s="918"/>
      <c r="BN56" s="919"/>
      <c r="BO56" s="10"/>
    </row>
    <row r="57" spans="1:67" ht="38.25" customHeight="1">
      <c r="A57" s="3249">
        <v>4</v>
      </c>
      <c r="B57" s="3162" t="s">
        <v>943</v>
      </c>
      <c r="C57" s="3163"/>
      <c r="D57" s="3256" t="s">
        <v>231</v>
      </c>
      <c r="E57" s="3257" t="s">
        <v>231</v>
      </c>
      <c r="F57" s="2881" t="s">
        <v>4</v>
      </c>
      <c r="G57" s="897" t="str">
        <f>'[6]XM.GUI MAIL'!$E$84</f>
        <v>50~70</v>
      </c>
      <c r="H57" s="2202" t="str">
        <f>'XM.FILE GOC'!$F$84</f>
        <v>(60±5)</v>
      </c>
      <c r="I57" s="1398">
        <f>'XM.FILE GOC'!AD84</f>
        <v>0</v>
      </c>
      <c r="J57" s="969" t="s">
        <v>8</v>
      </c>
      <c r="K57" s="970">
        <f>'XM.FILE GOC'!AG84</f>
        <v>520.08000000000004</v>
      </c>
      <c r="L57" s="971" t="s">
        <v>9</v>
      </c>
      <c r="M57" s="907"/>
      <c r="N57" s="910" t="str">
        <f>IF(M57="","","+")</f>
        <v/>
      </c>
      <c r="O57" s="1589" t="str">
        <f>IF(M57=0,"",('XM.FILE GOC'!$G$84-M57)*8668/1000)</f>
        <v/>
      </c>
      <c r="P57" s="2895" t="str">
        <f>IF(O57="","","kg")</f>
        <v/>
      </c>
      <c r="Q57" s="1398">
        <f>'XM.FILE GOC'!AK84</f>
        <v>0</v>
      </c>
      <c r="R57" s="969" t="s">
        <v>8</v>
      </c>
      <c r="S57" s="970">
        <f>'XM.FILE GOC'!AN84</f>
        <v>520.08000000000004</v>
      </c>
      <c r="T57" s="971" t="s">
        <v>9</v>
      </c>
      <c r="U57" s="907"/>
      <c r="V57" s="910" t="str">
        <f>IF(U57="","","+")</f>
        <v/>
      </c>
      <c r="W57" s="1589" t="str">
        <f>IF(U57=0,"",('XM.FILE GOC'!$G$84-U57)*8668/1000)</f>
        <v/>
      </c>
      <c r="X57" s="2895" t="str">
        <f>IF(W57="","","kg")</f>
        <v/>
      </c>
      <c r="Y57" s="1398">
        <f>'XM.FILE GOC'!AR84</f>
        <v>0</v>
      </c>
      <c r="Z57" s="969" t="s">
        <v>8</v>
      </c>
      <c r="AA57" s="970">
        <f>'XM.FILE GOC'!AU84</f>
        <v>520.08000000000004</v>
      </c>
      <c r="AB57" s="971" t="s">
        <v>9</v>
      </c>
      <c r="AC57" s="907"/>
      <c r="AD57" s="910" t="str">
        <f>IF(AC57="","","+")</f>
        <v/>
      </c>
      <c r="AE57" s="1589" t="str">
        <f>IF(AC57=0,"",('XM.FILE GOC'!$G$84-AC57)*8668/1000)</f>
        <v/>
      </c>
      <c r="AF57" s="2895" t="str">
        <f>IF(AE57="","","kg")</f>
        <v/>
      </c>
      <c r="AG57" s="69" t="s">
        <v>39</v>
      </c>
      <c r="AI57" s="2825">
        <v>5</v>
      </c>
      <c r="AJ57" s="3306" t="s">
        <v>116</v>
      </c>
      <c r="AK57" s="3307"/>
      <c r="AL57" s="3307"/>
      <c r="AM57" s="3308"/>
      <c r="AN57" s="2050" t="s">
        <v>26</v>
      </c>
      <c r="AO57" s="2051" t="str">
        <f>'XM.GUI MAIL'!$E$117</f>
        <v>24~28</v>
      </c>
      <c r="AP57" s="2219" t="str">
        <f>'XM.GUI MAIL'!$F$117</f>
        <v>(26±2)</v>
      </c>
      <c r="AQ57" s="3309">
        <f>'XM.FILE GOC'!AD117</f>
        <v>0</v>
      </c>
      <c r="AR57" s="3108"/>
      <c r="AS57" s="3107">
        <f>'XM.FILE GOC'!AG117</f>
        <v>0</v>
      </c>
      <c r="AT57" s="3108"/>
      <c r="AU57" s="920"/>
      <c r="AV57" s="921"/>
      <c r="AW57" s="921"/>
      <c r="AX57" s="922"/>
      <c r="AY57" s="3107">
        <f>'XM.FILE GOC'!AK117</f>
        <v>0</v>
      </c>
      <c r="AZ57" s="3108"/>
      <c r="BA57" s="3107">
        <f>'XM.FILE GOC'!AN117</f>
        <v>0</v>
      </c>
      <c r="BB57" s="3108"/>
      <c r="BC57" s="920"/>
      <c r="BD57" s="921"/>
      <c r="BE57" s="921"/>
      <c r="BF57" s="922"/>
      <c r="BG57" s="3107">
        <f>'XM.FILE GOC'!AR117</f>
        <v>0</v>
      </c>
      <c r="BH57" s="3108"/>
      <c r="BI57" s="3107">
        <f>'XM.FILE GOC'!AU117</f>
        <v>0</v>
      </c>
      <c r="BJ57" s="3108"/>
      <c r="BK57" s="920"/>
      <c r="BL57" s="921"/>
      <c r="BM57" s="921"/>
      <c r="BN57" s="922"/>
      <c r="BO57" s="2673"/>
    </row>
    <row r="58" spans="1:67" ht="38.25" customHeight="1">
      <c r="A58" s="3255"/>
      <c r="B58" s="3267"/>
      <c r="C58" s="3267"/>
      <c r="D58" s="3256" t="s">
        <v>232</v>
      </c>
      <c r="E58" s="3257" t="s">
        <v>232</v>
      </c>
      <c r="F58" s="1004"/>
      <c r="G58" s="897" t="s">
        <v>1656</v>
      </c>
      <c r="H58" s="2202"/>
      <c r="I58" s="1676"/>
      <c r="J58" s="58"/>
      <c r="K58" s="952">
        <f>K57/25*8</f>
        <v>166.4256</v>
      </c>
      <c r="L58" s="587" t="s">
        <v>10</v>
      </c>
      <c r="M58" s="907"/>
      <c r="N58" s="910" t="str">
        <f>IF(M57="","","+")</f>
        <v/>
      </c>
      <c r="O58" s="1586" t="str">
        <f>IF(M57=0,"",O57/25*8)</f>
        <v/>
      </c>
      <c r="P58" s="2895" t="str">
        <f>IF(O57="","","L")</f>
        <v/>
      </c>
      <c r="Q58" s="1676"/>
      <c r="R58" s="58"/>
      <c r="S58" s="952">
        <f>S57/25*8</f>
        <v>166.4256</v>
      </c>
      <c r="T58" s="587" t="s">
        <v>10</v>
      </c>
      <c r="U58" s="907"/>
      <c r="V58" s="910" t="str">
        <f>IF(U57="","","+")</f>
        <v/>
      </c>
      <c r="W58" s="1586" t="str">
        <f>IF(U57=0,"",W57/25*8)</f>
        <v/>
      </c>
      <c r="X58" s="2895" t="str">
        <f>IF(W57="","","L")</f>
        <v/>
      </c>
      <c r="Y58" s="1676"/>
      <c r="Z58" s="58"/>
      <c r="AA58" s="952">
        <f>AA57/25*8</f>
        <v>166.4256</v>
      </c>
      <c r="AB58" s="587" t="s">
        <v>10</v>
      </c>
      <c r="AC58" s="907"/>
      <c r="AD58" s="910" t="str">
        <f>IF(AC57="","","+")</f>
        <v/>
      </c>
      <c r="AE58" s="1586" t="str">
        <f>IF(AC57=0,"",AE57/25*8)</f>
        <v/>
      </c>
      <c r="AF58" s="2895" t="str">
        <f>IF(AE57="","","L")</f>
        <v/>
      </c>
      <c r="AG58" s="69"/>
      <c r="AI58" s="2826">
        <v>6</v>
      </c>
      <c r="AJ58" s="3306" t="s">
        <v>1597</v>
      </c>
      <c r="AK58" s="3307"/>
      <c r="AL58" s="3307"/>
      <c r="AM58" s="3308"/>
      <c r="AN58" s="2050" t="s">
        <v>26</v>
      </c>
      <c r="AO58" s="2051" t="str">
        <f>'XM.GUI MAIL'!$E$118</f>
        <v>20~30</v>
      </c>
      <c r="AP58" s="2219" t="str">
        <f>'XM.GUI MAIL'!$F$118</f>
        <v>(25±5)</v>
      </c>
      <c r="AQ58" s="3309">
        <f>'XM.FILE GOC'!AD118</f>
        <v>0</v>
      </c>
      <c r="AR58" s="3108"/>
      <c r="AS58" s="3107">
        <f>'XM.FILE GOC'!AG118</f>
        <v>0</v>
      </c>
      <c r="AT58" s="3313"/>
      <c r="AU58" s="2178"/>
      <c r="AV58" s="924"/>
      <c r="AW58" s="924"/>
      <c r="AX58" s="925"/>
      <c r="AY58" s="3107">
        <f>'XM.FILE GOC'!AK118</f>
        <v>0</v>
      </c>
      <c r="AZ58" s="3108"/>
      <c r="BA58" s="3107">
        <f>'XM.FILE GOC'!AN118</f>
        <v>0</v>
      </c>
      <c r="BB58" s="3313"/>
      <c r="BC58" s="2178"/>
      <c r="BD58" s="924"/>
      <c r="BE58" s="924"/>
      <c r="BF58" s="925"/>
      <c r="BG58" s="3107">
        <f>'XM.FILE GOC'!AR118</f>
        <v>0</v>
      </c>
      <c r="BH58" s="3108"/>
      <c r="BI58" s="3283">
        <f>'XM.FILE GOC'!AU118</f>
        <v>0</v>
      </c>
      <c r="BJ58" s="3283"/>
      <c r="BK58" s="2178"/>
      <c r="BL58" s="924"/>
      <c r="BM58" s="924"/>
      <c r="BN58" s="925"/>
      <c r="BO58" s="2673"/>
    </row>
    <row r="59" spans="1:67" ht="38.25" customHeight="1">
      <c r="A59" s="3249">
        <v>5</v>
      </c>
      <c r="B59" s="3274" t="s">
        <v>1662</v>
      </c>
      <c r="C59" s="3268" t="s">
        <v>945</v>
      </c>
      <c r="D59" s="3269"/>
      <c r="E59" s="3270"/>
      <c r="F59" s="2827" t="s">
        <v>4</v>
      </c>
      <c r="G59" s="2010" t="str">
        <f>'XM.FILE GOC'!$E$86</f>
        <v>135~ 145</v>
      </c>
      <c r="H59" s="2828" t="str">
        <f>'XM.FILE GOC'!$F$86</f>
        <v>(140±5)</v>
      </c>
      <c r="I59" s="77">
        <f>'XM.FILE GOC'!AD86</f>
        <v>0</v>
      </c>
      <c r="J59" s="969" t="s">
        <v>8</v>
      </c>
      <c r="K59" s="970">
        <f>'XM.FILE GOC'!AG86</f>
        <v>7429.24</v>
      </c>
      <c r="L59" s="971" t="s">
        <v>9</v>
      </c>
      <c r="M59" s="907"/>
      <c r="N59" s="910" t="str">
        <f>IF(M59="","","+")</f>
        <v/>
      </c>
      <c r="O59" s="1589" t="str">
        <f>IF(M59="","",('XM.FILE GOC'!$G$86-M59)*53066/1000)</f>
        <v/>
      </c>
      <c r="P59" s="2895" t="str">
        <f>IF(O59="","","kg")</f>
        <v/>
      </c>
      <c r="Q59" s="77">
        <f>'XM.FILE GOC'!AK86</f>
        <v>0</v>
      </c>
      <c r="R59" s="969" t="s">
        <v>8</v>
      </c>
      <c r="S59" s="970">
        <f>'XM.FILE GOC'!AN86</f>
        <v>7429.24</v>
      </c>
      <c r="T59" s="971" t="s">
        <v>9</v>
      </c>
      <c r="U59" s="907"/>
      <c r="V59" s="910" t="str">
        <f>IF(U59="","","+")</f>
        <v/>
      </c>
      <c r="W59" s="1589" t="str">
        <f>IF(U59="","",('XM.FILE GOC'!$G$86-U59)*53066/1000)</f>
        <v/>
      </c>
      <c r="X59" s="2895" t="str">
        <f>IF(W59="","","kg")</f>
        <v/>
      </c>
      <c r="Y59" s="77">
        <f>'XM.FILE GOC'!AR86</f>
        <v>0</v>
      </c>
      <c r="Z59" s="969" t="s">
        <v>8</v>
      </c>
      <c r="AA59" s="970">
        <f>'XM.FILE GOC'!AU86</f>
        <v>7429.24</v>
      </c>
      <c r="AB59" s="971" t="s">
        <v>9</v>
      </c>
      <c r="AC59" s="907"/>
      <c r="AD59" s="910" t="str">
        <f>IF(AC59="","","+")</f>
        <v/>
      </c>
      <c r="AE59" s="1589" t="str">
        <f>IF(AC59="","",('XM.FILE GOC'!$G$86-AC59)*53066/1000)</f>
        <v/>
      </c>
      <c r="AF59" s="2895" t="str">
        <f>IF(AE59="","","kg")</f>
        <v/>
      </c>
      <c r="AG59" s="69" t="s">
        <v>40</v>
      </c>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7" ht="38.25" customHeight="1">
      <c r="A60" s="3255"/>
      <c r="B60" s="3275"/>
      <c r="C60" s="3268" t="s">
        <v>946</v>
      </c>
      <c r="D60" s="3269"/>
      <c r="E60" s="3270"/>
      <c r="F60" s="2827" t="s">
        <v>4</v>
      </c>
      <c r="G60" s="2010" t="str">
        <f>'XM.FILE GOC'!$E$87</f>
        <v>7~10</v>
      </c>
      <c r="H60" s="2828" t="str">
        <f>'XM.FILE GOC'!$F$87</f>
        <v>(8.5±1)</v>
      </c>
      <c r="I60" s="1922">
        <f>'XM.FILE GOC'!AD87</f>
        <v>0</v>
      </c>
      <c r="J60" s="969" t="s">
        <v>8</v>
      </c>
      <c r="K60" s="970">
        <f>'XM.FILE GOC'!AG87</f>
        <v>451.06099999999998</v>
      </c>
      <c r="L60" s="971" t="s">
        <v>9</v>
      </c>
      <c r="M60" s="907"/>
      <c r="N60" s="910" t="str">
        <f t="shared" ref="N60:N61" si="9">IF(M60="","","+")</f>
        <v/>
      </c>
      <c r="O60" s="1589" t="str">
        <f>IF(M60="","",('XM.FILE GOC'!$G$87-M60)*53066/1000)</f>
        <v/>
      </c>
      <c r="P60" s="2895" t="str">
        <f>IF(O60="","","kg")</f>
        <v/>
      </c>
      <c r="Q60" s="1922">
        <f>'XM.FILE GOC'!AK87</f>
        <v>0</v>
      </c>
      <c r="R60" s="969" t="s">
        <v>8</v>
      </c>
      <c r="S60" s="970">
        <f>'XM.FILE GOC'!AN87</f>
        <v>451.06099999999998</v>
      </c>
      <c r="T60" s="971" t="s">
        <v>9</v>
      </c>
      <c r="U60" s="907"/>
      <c r="V60" s="910" t="str">
        <f t="shared" ref="V60:V61" si="10">IF(U60="","","+")</f>
        <v/>
      </c>
      <c r="W60" s="1589" t="str">
        <f>IF(U60="","",('XM.FILE GOC'!$G$87-U60)*53066/1000)</f>
        <v/>
      </c>
      <c r="X60" s="2895" t="str">
        <f>IF(W60="","","kg")</f>
        <v/>
      </c>
      <c r="Y60" s="1922">
        <f>'XM.FILE GOC'!AR87</f>
        <v>0</v>
      </c>
      <c r="Z60" s="969" t="s">
        <v>8</v>
      </c>
      <c r="AA60" s="970">
        <f>'XM.FILE GOC'!AU87</f>
        <v>451.06099999999998</v>
      </c>
      <c r="AB60" s="909" t="s">
        <v>9</v>
      </c>
      <c r="AC60" s="907"/>
      <c r="AD60" s="910" t="str">
        <f t="shared" ref="AD60:AD61" si="11">IF(AC60="","","+")</f>
        <v/>
      </c>
      <c r="AE60" s="1589" t="str">
        <f>IF(AC60="","",('XM.FILE GOC'!$G$87-AC60)*53066/1000)</f>
        <v/>
      </c>
      <c r="AF60" s="2895" t="str">
        <f>IF(AE60="","","kg")</f>
        <v/>
      </c>
      <c r="AG60" s="69" t="s">
        <v>41</v>
      </c>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row>
    <row r="61" spans="1:67" s="7" customFormat="1" ht="38.25" customHeight="1">
      <c r="A61" s="3249">
        <v>6</v>
      </c>
      <c r="B61" s="3258" t="s">
        <v>1646</v>
      </c>
      <c r="C61" s="3259"/>
      <c r="D61" s="3259"/>
      <c r="E61" s="3262"/>
      <c r="F61" s="2827" t="s">
        <v>3</v>
      </c>
      <c r="G61" s="2010" t="str">
        <f>'XM.FILE GOC'!$E$88</f>
        <v>5~8</v>
      </c>
      <c r="H61" s="2828" t="str">
        <f>'XM.FILE GOC'!$F$88</f>
        <v>(6±1)</v>
      </c>
      <c r="I61" s="1731">
        <f>'XM.FILE GOC'!AD88</f>
        <v>-1.0461</v>
      </c>
      <c r="J61" s="969" t="s">
        <v>8</v>
      </c>
      <c r="K61" s="970">
        <f>'XM.FILE GOC'!AG88</f>
        <v>236.74896000000001</v>
      </c>
      <c r="L61" s="971" t="s">
        <v>10</v>
      </c>
      <c r="M61" s="1573"/>
      <c r="N61" s="910" t="str">
        <f t="shared" si="9"/>
        <v/>
      </c>
      <c r="O61" s="1588" t="str">
        <f>IF(M61="","",('XM.FILE GOC'!$G$88-M61)*3360/85)</f>
        <v/>
      </c>
      <c r="P61" s="2895" t="str">
        <f>IF(O61="","","L")</f>
        <v/>
      </c>
      <c r="Q61" s="594">
        <f>'XM.FILE GOC'!AK88</f>
        <v>-1.0461</v>
      </c>
      <c r="R61" s="969" t="s">
        <v>8</v>
      </c>
      <c r="S61" s="970">
        <f>'XM.FILE GOC'!AN88</f>
        <v>236.74896000000001</v>
      </c>
      <c r="T61" s="971" t="s">
        <v>10</v>
      </c>
      <c r="U61" s="1573"/>
      <c r="V61" s="910" t="str">
        <f t="shared" si="10"/>
        <v/>
      </c>
      <c r="W61" s="1588" t="str">
        <f>IF(U61="","",('XM.FILE GOC'!$G$88-U61)*3360/85)</f>
        <v/>
      </c>
      <c r="X61" s="2895" t="str">
        <f>IF(W61="","","L")</f>
        <v/>
      </c>
      <c r="Y61" s="594">
        <f>'XM.FILE GOC'!AR88</f>
        <v>-1.0461</v>
      </c>
      <c r="Z61" s="969" t="s">
        <v>8</v>
      </c>
      <c r="AA61" s="970">
        <f>'XM.FILE GOC'!AU88</f>
        <v>236.74896000000001</v>
      </c>
      <c r="AB61" s="971" t="s">
        <v>10</v>
      </c>
      <c r="AC61" s="907"/>
      <c r="AD61" s="910" t="str">
        <f t="shared" si="11"/>
        <v/>
      </c>
      <c r="AE61" s="1588" t="str">
        <f>IF(AC61="","",('XM.FILE GOC'!$G$88-AC61)*3360/85)</f>
        <v/>
      </c>
      <c r="AF61" s="2895" t="str">
        <f>IF(AE61="","","L")</f>
        <v/>
      </c>
      <c r="AG61" s="69" t="s">
        <v>42</v>
      </c>
      <c r="AH61" s="944"/>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row>
    <row r="62" spans="1:67" ht="38.25" customHeight="1">
      <c r="A62" s="3255"/>
      <c r="B62" s="3260"/>
      <c r="C62" s="3261"/>
      <c r="D62" s="3261"/>
      <c r="E62" s="3263"/>
      <c r="F62" s="2827" t="s">
        <v>5</v>
      </c>
      <c r="G62" s="2010" t="str">
        <f>'XM.FILE GOC'!E89</f>
        <v>2.0~2.4</v>
      </c>
      <c r="H62" s="2828" t="str">
        <f>'XM.FILE GOC'!$F$89</f>
        <v>(2.2±0.1)</v>
      </c>
      <c r="I62" s="1922">
        <f>'XM.FILE GOC'!AD89</f>
        <v>0</v>
      </c>
      <c r="J62" s="1369"/>
      <c r="K62" s="1370"/>
      <c r="L62" s="1371"/>
      <c r="M62" s="1573"/>
      <c r="N62" s="912"/>
      <c r="O62" s="935"/>
      <c r="P62" s="913"/>
      <c r="Q62" s="1922">
        <f>'XM.FILE GOC'!AK89</f>
        <v>0</v>
      </c>
      <c r="R62" s="1369"/>
      <c r="S62" s="1370"/>
      <c r="T62" s="1371"/>
      <c r="U62" s="1573"/>
      <c r="V62" s="912"/>
      <c r="W62" s="935"/>
      <c r="X62" s="913"/>
      <c r="Y62" s="1922">
        <f>'XM.FILE GOC'!AR89</f>
        <v>0</v>
      </c>
      <c r="Z62" s="969"/>
      <c r="AA62" s="970"/>
      <c r="AB62" s="971"/>
      <c r="AC62" s="907"/>
      <c r="AD62" s="912"/>
      <c r="AE62" s="935"/>
      <c r="AF62" s="913"/>
      <c r="AG62" s="70"/>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row>
    <row r="63" spans="1:67" ht="38.25" customHeight="1">
      <c r="A63" s="2454">
        <v>7</v>
      </c>
      <c r="B63" s="3239" t="s">
        <v>1592</v>
      </c>
      <c r="C63" s="3240"/>
      <c r="D63" s="3240"/>
      <c r="E63" s="3241"/>
      <c r="F63" s="632" t="s">
        <v>6</v>
      </c>
      <c r="G63" s="897" t="str">
        <f>'XM.FILE GOC'!$E$90</f>
        <v>40~50</v>
      </c>
      <c r="H63" s="2202" t="str">
        <f>'XM.FILE GOC'!$F$90</f>
        <v>(45±5)</v>
      </c>
      <c r="I63" s="1747">
        <f>'XM.FILE GOC'!AD90</f>
        <v>0</v>
      </c>
      <c r="J63" s="969" t="s">
        <v>8</v>
      </c>
      <c r="K63" s="970">
        <f>'XM.FILE GOC'!AG90</f>
        <v>1455.3</v>
      </c>
      <c r="L63" s="971" t="s">
        <v>10</v>
      </c>
      <c r="M63" s="914"/>
      <c r="N63" s="910" t="str">
        <f t="shared" ref="N63:N70" si="12">IF(M63="","","+")</f>
        <v/>
      </c>
      <c r="O63" s="935" t="str">
        <f>IF(M63="","",('XM.FILE GOC'!$G$90-M63)*3234)</f>
        <v/>
      </c>
      <c r="P63" s="2895" t="str">
        <f t="shared" ref="P63:P68" si="13">IF(O63="","","L")</f>
        <v/>
      </c>
      <c r="Q63" s="1747">
        <f>'XM.FILE GOC'!AK90</f>
        <v>0</v>
      </c>
      <c r="R63" s="969" t="s">
        <v>8</v>
      </c>
      <c r="S63" s="970">
        <f>'XM.FILE GOC'!AN90</f>
        <v>1455.3</v>
      </c>
      <c r="T63" s="971" t="s">
        <v>10</v>
      </c>
      <c r="U63" s="914"/>
      <c r="V63" s="910" t="str">
        <f t="shared" ref="V63:V70" si="14">IF(U63="","","+")</f>
        <v/>
      </c>
      <c r="W63" s="935" t="str">
        <f>IF(U63="","",('XM.FILE GOC'!$G$90-U63)*3234)</f>
        <v/>
      </c>
      <c r="X63" s="2895" t="str">
        <f t="shared" ref="X63:X68" si="15">IF(W63="","","L")</f>
        <v/>
      </c>
      <c r="Y63" s="1747">
        <f>'XM.FILE GOC'!AR90</f>
        <v>0</v>
      </c>
      <c r="Z63" s="969" t="s">
        <v>8</v>
      </c>
      <c r="AA63" s="970">
        <f>'XM.FILE GOC'!AU90</f>
        <v>1455.3</v>
      </c>
      <c r="AB63" s="971" t="s">
        <v>10</v>
      </c>
      <c r="AC63" s="914"/>
      <c r="AD63" s="910" t="str">
        <f t="shared" ref="AD63:AD70" si="16">IF(AC63="","","+")</f>
        <v/>
      </c>
      <c r="AE63" s="935" t="str">
        <f>IF(AC63="","",('XM.FILE GOC'!$G$90-AC63)*3234)</f>
        <v/>
      </c>
      <c r="AF63" s="2895" t="str">
        <f t="shared" ref="AF63:AF68" si="17">IF(AE63="","","L")</f>
        <v/>
      </c>
      <c r="AG63" s="2446" t="s">
        <v>44</v>
      </c>
    </row>
    <row r="64" spans="1:67" ht="38.25" customHeight="1">
      <c r="A64" s="2671">
        <v>8</v>
      </c>
      <c r="B64" s="3264" t="s">
        <v>1586</v>
      </c>
      <c r="C64" s="3265"/>
      <c r="D64" s="3265"/>
      <c r="E64" s="3266"/>
      <c r="F64" s="632" t="s">
        <v>6</v>
      </c>
      <c r="G64" s="897" t="str">
        <f>'XM.FILE GOC'!$E$91</f>
        <v>10~20</v>
      </c>
      <c r="H64" s="2202" t="str">
        <f>'XM.FILE GOC'!$F$91</f>
        <v>(15±5)</v>
      </c>
      <c r="I64" s="1736">
        <f>'XM.FILE GOC'!AD91</f>
        <v>0</v>
      </c>
      <c r="J64" s="969" t="s">
        <v>8</v>
      </c>
      <c r="K64" s="970">
        <f>'XM.FILE GOC'!AG91</f>
        <v>504.15</v>
      </c>
      <c r="L64" s="971" t="s">
        <v>10</v>
      </c>
      <c r="M64" s="914"/>
      <c r="N64" s="910" t="str">
        <f t="shared" si="12"/>
        <v/>
      </c>
      <c r="O64" s="1588" t="str">
        <f>IF(M64="","",('XM.FILE GOC'!$G$91-M64)*3361)</f>
        <v/>
      </c>
      <c r="P64" s="2895" t="str">
        <f t="shared" si="13"/>
        <v/>
      </c>
      <c r="Q64" s="1736">
        <f>'XM.FILE GOC'!AK91</f>
        <v>0</v>
      </c>
      <c r="R64" s="969" t="s">
        <v>8</v>
      </c>
      <c r="S64" s="970">
        <f>'XM.FILE GOC'!AN91</f>
        <v>504.15</v>
      </c>
      <c r="T64" s="971" t="s">
        <v>10</v>
      </c>
      <c r="U64" s="914"/>
      <c r="V64" s="910" t="str">
        <f t="shared" si="14"/>
        <v/>
      </c>
      <c r="W64" s="1588" t="str">
        <f>IF(U64="","",('XM.FILE GOC'!$G$91-U64)*3361)</f>
        <v/>
      </c>
      <c r="X64" s="2895" t="str">
        <f t="shared" si="15"/>
        <v/>
      </c>
      <c r="Y64" s="1736">
        <f>'XM.FILE GOC'!AR91</f>
        <v>0</v>
      </c>
      <c r="Z64" s="969" t="s">
        <v>8</v>
      </c>
      <c r="AA64" s="970">
        <f>'XM.FILE GOC'!AU91</f>
        <v>504.15</v>
      </c>
      <c r="AB64" s="971" t="s">
        <v>10</v>
      </c>
      <c r="AC64" s="914"/>
      <c r="AD64" s="910" t="str">
        <f t="shared" si="16"/>
        <v/>
      </c>
      <c r="AE64" s="1588" t="str">
        <f>IF(AC64="","",('XM.FILE GOC'!$G$91-AC64)*3361)</f>
        <v/>
      </c>
      <c r="AF64" s="2895" t="str">
        <f t="shared" si="17"/>
        <v/>
      </c>
      <c r="AG64" s="69" t="s">
        <v>43</v>
      </c>
    </row>
    <row r="65" spans="1:34" ht="38.25" customHeight="1">
      <c r="A65" s="2454">
        <v>9</v>
      </c>
      <c r="B65" s="3239" t="s">
        <v>1584</v>
      </c>
      <c r="C65" s="3240"/>
      <c r="D65" s="3240"/>
      <c r="E65" s="3241"/>
      <c r="F65" s="632" t="s">
        <v>6</v>
      </c>
      <c r="G65" s="897" t="str">
        <f>'XM.FILE GOC'!$E$92</f>
        <v>40~50</v>
      </c>
      <c r="H65" s="2202" t="str">
        <f>'XM.FILE GOC'!$F$92</f>
        <v>(45±5)</v>
      </c>
      <c r="I65" s="1747">
        <f>'XM.FILE GOC'!AD92</f>
        <v>0</v>
      </c>
      <c r="J65" s="969" t="s">
        <v>8</v>
      </c>
      <c r="K65" s="970">
        <f>'XM.FILE GOC'!AG92</f>
        <v>1512.45</v>
      </c>
      <c r="L65" s="971" t="s">
        <v>10</v>
      </c>
      <c r="M65" s="914"/>
      <c r="N65" s="910" t="str">
        <f t="shared" si="12"/>
        <v/>
      </c>
      <c r="O65" s="1588" t="str">
        <f>IF(M65="","",('XM.FILE GOC'!$G$92-M65)*3361)</f>
        <v/>
      </c>
      <c r="P65" s="2895" t="str">
        <f t="shared" si="13"/>
        <v/>
      </c>
      <c r="Q65" s="1747">
        <f>'XM.FILE GOC'!AK92</f>
        <v>0</v>
      </c>
      <c r="R65" s="969" t="s">
        <v>8</v>
      </c>
      <c r="S65" s="970">
        <f>'XM.FILE GOC'!AN92</f>
        <v>1512.45</v>
      </c>
      <c r="T65" s="971" t="s">
        <v>10</v>
      </c>
      <c r="U65" s="914"/>
      <c r="V65" s="910" t="str">
        <f t="shared" si="14"/>
        <v/>
      </c>
      <c r="W65" s="1588" t="str">
        <f>IF(U65="","",('XM.FILE GOC'!$G$92-U65)*3361)</f>
        <v/>
      </c>
      <c r="X65" s="2895" t="str">
        <f t="shared" si="15"/>
        <v/>
      </c>
      <c r="Y65" s="1747">
        <f>'XM.FILE GOC'!AR92</f>
        <v>0</v>
      </c>
      <c r="Z65" s="969" t="s">
        <v>8</v>
      </c>
      <c r="AA65" s="970">
        <f>'XM.FILE GOC'!AU92</f>
        <v>1512.45</v>
      </c>
      <c r="AB65" s="971" t="s">
        <v>10</v>
      </c>
      <c r="AC65" s="914"/>
      <c r="AD65" s="910" t="str">
        <f t="shared" si="16"/>
        <v/>
      </c>
      <c r="AE65" s="1588" t="str">
        <f>IF(AC65="","",('XM.FILE GOC'!$G$92-AC65)*3361)</f>
        <v/>
      </c>
      <c r="AF65" s="2895" t="str">
        <f t="shared" si="17"/>
        <v/>
      </c>
      <c r="AG65" s="2446" t="s">
        <v>43</v>
      </c>
    </row>
    <row r="66" spans="1:34" ht="38.25" customHeight="1">
      <c r="A66" s="2671">
        <v>10</v>
      </c>
      <c r="B66" s="3236" t="s">
        <v>1585</v>
      </c>
      <c r="C66" s="3237"/>
      <c r="D66" s="3237"/>
      <c r="E66" s="3238"/>
      <c r="F66" s="632" t="s">
        <v>6</v>
      </c>
      <c r="G66" s="897" t="str">
        <f>'XM.FILE GOC'!$E$93</f>
        <v>40~50</v>
      </c>
      <c r="H66" s="2202" t="str">
        <f>'XM.FILE GOC'!$F$93</f>
        <v>(45±5)</v>
      </c>
      <c r="I66" s="1747">
        <f>'XM.FILE GOC'!AD93</f>
        <v>0</v>
      </c>
      <c r="J66" s="969" t="s">
        <v>8</v>
      </c>
      <c r="K66" s="970">
        <f>'XM.FILE GOC'!AG93</f>
        <v>4729.05</v>
      </c>
      <c r="L66" s="971" t="s">
        <v>10</v>
      </c>
      <c r="M66" s="914"/>
      <c r="N66" s="910" t="str">
        <f t="shared" si="12"/>
        <v/>
      </c>
      <c r="O66" s="1588" t="str">
        <f>IF(M66="","",('XM.FILE GOC'!$G$93-M66)*10509)</f>
        <v/>
      </c>
      <c r="P66" s="2895" t="str">
        <f t="shared" si="13"/>
        <v/>
      </c>
      <c r="Q66" s="1747">
        <f>'XM.FILE GOC'!AK93</f>
        <v>0</v>
      </c>
      <c r="R66" s="969" t="s">
        <v>8</v>
      </c>
      <c r="S66" s="970">
        <f>'XM.FILE GOC'!AN93</f>
        <v>4729.05</v>
      </c>
      <c r="T66" s="971" t="s">
        <v>10</v>
      </c>
      <c r="U66" s="914"/>
      <c r="V66" s="910" t="str">
        <f t="shared" si="14"/>
        <v/>
      </c>
      <c r="W66" s="1588" t="str">
        <f>IF(U66="","",('XM.FILE GOC'!$G$93-U66)*10509)</f>
        <v/>
      </c>
      <c r="X66" s="2895" t="str">
        <f t="shared" si="15"/>
        <v/>
      </c>
      <c r="Y66" s="1747">
        <f>'XM.FILE GOC'!AR93</f>
        <v>0</v>
      </c>
      <c r="Z66" s="969" t="s">
        <v>8</v>
      </c>
      <c r="AA66" s="970">
        <f>'XM.FILE GOC'!AU93</f>
        <v>4729.05</v>
      </c>
      <c r="AB66" s="971" t="s">
        <v>10</v>
      </c>
      <c r="AC66" s="914"/>
      <c r="AD66" s="910" t="str">
        <f t="shared" si="16"/>
        <v/>
      </c>
      <c r="AE66" s="1588" t="str">
        <f>IF(AC66="","",('XM.FILE GOC'!$G$93-AC66)*10509)</f>
        <v/>
      </c>
      <c r="AF66" s="2895" t="str">
        <f t="shared" si="17"/>
        <v/>
      </c>
      <c r="AG66" s="68" t="s">
        <v>43</v>
      </c>
    </row>
    <row r="67" spans="1:34" ht="38.25" customHeight="1">
      <c r="A67" s="2454">
        <v>11</v>
      </c>
      <c r="B67" s="3264" t="s">
        <v>947</v>
      </c>
      <c r="C67" s="3265" t="s">
        <v>947</v>
      </c>
      <c r="D67" s="3265" t="s">
        <v>947</v>
      </c>
      <c r="E67" s="3266" t="s">
        <v>947</v>
      </c>
      <c r="F67" s="632" t="s">
        <v>6</v>
      </c>
      <c r="G67" s="897" t="str">
        <f>'XM.FILE GOC'!$E$94</f>
        <v>0.5~1.0</v>
      </c>
      <c r="H67" s="2202" t="str">
        <f>'XM.FILE GOC'!$F$94</f>
        <v>(0.7±0.1)</v>
      </c>
      <c r="I67" s="1767">
        <f>'XM.FILE GOC'!AD94</f>
        <v>0</v>
      </c>
      <c r="J67" s="969" t="s">
        <v>8</v>
      </c>
      <c r="K67" s="973">
        <f>'XM.FILE GOC'!AG94</f>
        <v>20.026490066225165</v>
      </c>
      <c r="L67" s="974" t="s">
        <v>10</v>
      </c>
      <c r="M67" s="1572"/>
      <c r="N67" s="910" t="str">
        <f t="shared" si="12"/>
        <v/>
      </c>
      <c r="O67" s="2400" t="str">
        <f>IF(M67="","",('XM.FILE GOC'!$G$94-M67)*2808)</f>
        <v/>
      </c>
      <c r="P67" s="2895" t="str">
        <f t="shared" si="13"/>
        <v/>
      </c>
      <c r="Q67" s="1767">
        <f>'XM.FILE GOC'!AK94</f>
        <v>0</v>
      </c>
      <c r="R67" s="969" t="s">
        <v>8</v>
      </c>
      <c r="S67" s="973">
        <f>'XM.FILE GOC'!AN94</f>
        <v>20.026490066225165</v>
      </c>
      <c r="T67" s="974" t="s">
        <v>10</v>
      </c>
      <c r="U67" s="1572"/>
      <c r="V67" s="910" t="str">
        <f t="shared" si="14"/>
        <v/>
      </c>
      <c r="W67" s="2400" t="str">
        <f>IF(U67="","",('XM.FILE GOC'!$G$94-U67)*2808)</f>
        <v/>
      </c>
      <c r="X67" s="2895" t="str">
        <f t="shared" si="15"/>
        <v/>
      </c>
      <c r="Y67" s="1767">
        <f>'XM.FILE GOC'!AR94</f>
        <v>0</v>
      </c>
      <c r="Z67" s="969" t="s">
        <v>8</v>
      </c>
      <c r="AA67" s="973">
        <f>'XM.FILE GOC'!AU94</f>
        <v>20.026490066225165</v>
      </c>
      <c r="AB67" s="974" t="s">
        <v>10</v>
      </c>
      <c r="AC67" s="1572"/>
      <c r="AD67" s="910" t="str">
        <f t="shared" si="16"/>
        <v/>
      </c>
      <c r="AE67" s="2400" t="str">
        <f>IF(AC67="","",('XM.FILE GOC'!$G$94-AC67)*2808)</f>
        <v/>
      </c>
      <c r="AF67" s="2895" t="str">
        <f t="shared" si="17"/>
        <v/>
      </c>
      <c r="AG67" s="69" t="s">
        <v>44</v>
      </c>
    </row>
    <row r="68" spans="1:34" ht="38.25" customHeight="1">
      <c r="A68" s="2671">
        <v>12</v>
      </c>
      <c r="B68" s="3230" t="s">
        <v>1667</v>
      </c>
      <c r="C68" s="3231"/>
      <c r="D68" s="3231"/>
      <c r="E68" s="3232"/>
      <c r="F68" s="2829" t="s">
        <v>3</v>
      </c>
      <c r="G68" s="2010" t="str">
        <f>'XM.GUI MAIL'!$E$95</f>
        <v>5~8</v>
      </c>
      <c r="H68" s="2828" t="str">
        <f>'XM.GUI MAIL'!$F$95</f>
        <v>(6±0.5)</v>
      </c>
      <c r="I68" s="1833">
        <f>'XM.FILE GOC'!AD95</f>
        <v>1.4</v>
      </c>
      <c r="J68" s="969" t="s">
        <v>8</v>
      </c>
      <c r="K68" s="970">
        <f>'XM.FILE GOC'!AG95</f>
        <v>172.23174736842103</v>
      </c>
      <c r="L68" s="974" t="s">
        <v>10</v>
      </c>
      <c r="M68" s="2236"/>
      <c r="N68" s="910" t="str">
        <f t="shared" si="12"/>
        <v/>
      </c>
      <c r="O68" s="935" t="str">
        <f>IF(M68="","",('XM.FILE GOC'!$G$95-M68)*4042/95*1.028)</f>
        <v/>
      </c>
      <c r="P68" s="2895" t="str">
        <f t="shared" si="13"/>
        <v/>
      </c>
      <c r="Q68" s="1833">
        <f>'XM.FILE GOC'!AK95</f>
        <v>1.4</v>
      </c>
      <c r="R68" s="969" t="s">
        <v>8</v>
      </c>
      <c r="S68" s="970">
        <f>'XM.FILE GOC'!AN95</f>
        <v>172.23174736842103</v>
      </c>
      <c r="T68" s="974" t="s">
        <v>10</v>
      </c>
      <c r="U68" s="2236"/>
      <c r="V68" s="910" t="str">
        <f t="shared" si="14"/>
        <v/>
      </c>
      <c r="W68" s="935" t="str">
        <f>IF(U68="","",('XM.FILE GOC'!$G$95-U68)*4042/95*1.028)</f>
        <v/>
      </c>
      <c r="X68" s="2895" t="str">
        <f t="shared" si="15"/>
        <v/>
      </c>
      <c r="Y68" s="1833">
        <f>'XM.FILE GOC'!AR95</f>
        <v>1.4</v>
      </c>
      <c r="Z68" s="969" t="s">
        <v>8</v>
      </c>
      <c r="AA68" s="970">
        <f>'XM.FILE GOC'!AU95</f>
        <v>172.23174736842103</v>
      </c>
      <c r="AB68" s="974" t="s">
        <v>10</v>
      </c>
      <c r="AC68" s="2236"/>
      <c r="AD68" s="910" t="str">
        <f t="shared" si="16"/>
        <v/>
      </c>
      <c r="AE68" s="935" t="str">
        <f>IF(AC68="","",('XM.FILE GOC'!$G$95-AC68)*4042/95*1.028)</f>
        <v/>
      </c>
      <c r="AF68" s="2895" t="str">
        <f t="shared" si="17"/>
        <v/>
      </c>
      <c r="AG68" s="2166"/>
    </row>
    <row r="69" spans="1:34" ht="38.25" customHeight="1">
      <c r="A69" s="2454">
        <v>13</v>
      </c>
      <c r="B69" s="3233"/>
      <c r="C69" s="3234"/>
      <c r="D69" s="3234"/>
      <c r="E69" s="3235"/>
      <c r="F69" s="2829" t="s">
        <v>5</v>
      </c>
      <c r="G69" s="2010" t="str">
        <f>'XM.GUI MAIL'!$E$96</f>
        <v>1.8~2.4</v>
      </c>
      <c r="H69" s="2828" t="str">
        <f>'XM.GUI MAIL'!$F$96</f>
        <v>(2.1±0.1)</v>
      </c>
      <c r="I69" s="1761">
        <f>'XM.FILE GOC'!AD96</f>
        <v>0</v>
      </c>
      <c r="J69" s="969"/>
      <c r="K69" s="973"/>
      <c r="L69" s="974"/>
      <c r="M69" s="915"/>
      <c r="N69" s="2103" t="str">
        <f t="shared" si="12"/>
        <v/>
      </c>
      <c r="O69" s="1590"/>
      <c r="P69" s="2279"/>
      <c r="Q69" s="1761">
        <f>'XM.FILE GOC'!AK96</f>
        <v>0</v>
      </c>
      <c r="R69" s="969"/>
      <c r="S69" s="973"/>
      <c r="T69" s="974"/>
      <c r="U69" s="915"/>
      <c r="V69" s="2103" t="str">
        <f t="shared" si="14"/>
        <v/>
      </c>
      <c r="W69" s="1590"/>
      <c r="X69" s="2279"/>
      <c r="Y69" s="1761">
        <f>'XM.FILE GOC'!AR96</f>
        <v>0</v>
      </c>
      <c r="Z69" s="969"/>
      <c r="AA69" s="973"/>
      <c r="AB69" s="974"/>
      <c r="AC69" s="915"/>
      <c r="AD69" s="2103" t="str">
        <f t="shared" si="16"/>
        <v/>
      </c>
      <c r="AE69" s="1590"/>
      <c r="AF69" s="2279"/>
      <c r="AG69" s="2166"/>
    </row>
    <row r="70" spans="1:34" ht="38.25" customHeight="1">
      <c r="A70" s="2867">
        <v>14</v>
      </c>
      <c r="B70" s="3242" t="s">
        <v>1647</v>
      </c>
      <c r="C70" s="3243"/>
      <c r="D70" s="3243"/>
      <c r="E70" s="3244"/>
      <c r="F70" s="2876" t="s">
        <v>3</v>
      </c>
      <c r="G70" s="2876" t="s">
        <v>1644</v>
      </c>
      <c r="H70" s="2877" t="s">
        <v>1645</v>
      </c>
      <c r="I70" s="1726">
        <f>'XM.FILE GOC'!AD97</f>
        <v>0</v>
      </c>
      <c r="J70" s="969" t="s">
        <v>8</v>
      </c>
      <c r="K70" s="970">
        <f>'XM.FILE GOC'!AG97</f>
        <v>470.4</v>
      </c>
      <c r="L70" s="974" t="s">
        <v>10</v>
      </c>
      <c r="M70" s="2894"/>
      <c r="N70" s="910" t="str">
        <f t="shared" si="12"/>
        <v/>
      </c>
      <c r="O70" s="2291" t="str">
        <f>IF(M70=0,"",('XM.FILE GOC'!$G$97-M70)*3360/102)</f>
        <v/>
      </c>
      <c r="P70" s="2895" t="str">
        <f>IF(O70="","","L")</f>
        <v/>
      </c>
      <c r="Q70" s="1726">
        <f>'XM.FILE GOC'!AK97</f>
        <v>0</v>
      </c>
      <c r="R70" s="969" t="s">
        <v>8</v>
      </c>
      <c r="S70" s="970">
        <f>'XM.FILE GOC'!AN97</f>
        <v>470.4</v>
      </c>
      <c r="T70" s="974" t="s">
        <v>10</v>
      </c>
      <c r="U70" s="2236"/>
      <c r="V70" s="910" t="str">
        <f t="shared" si="14"/>
        <v/>
      </c>
      <c r="W70" s="2291" t="str">
        <f>IF(U70=0,"",('XM.FILE GOC'!$G$97-U70)*3360/102)</f>
        <v/>
      </c>
      <c r="X70" s="2895" t="str">
        <f>IF(W70="","","L")</f>
        <v/>
      </c>
      <c r="Y70" s="1726">
        <f>'XM.FILE GOC'!AR97</f>
        <v>0</v>
      </c>
      <c r="Z70" s="969" t="s">
        <v>8</v>
      </c>
      <c r="AA70" s="970">
        <f>'XM.FILE GOC'!AU97</f>
        <v>470.4</v>
      </c>
      <c r="AB70" s="974" t="s">
        <v>10</v>
      </c>
      <c r="AC70" s="2236"/>
      <c r="AD70" s="910" t="str">
        <f t="shared" si="16"/>
        <v/>
      </c>
      <c r="AE70" s="2291" t="str">
        <f>IF(AC70=0,"",('XM.FILE GOC'!$G$97-AC70)*3360/102)</f>
        <v/>
      </c>
      <c r="AF70" s="2895" t="str">
        <f>IF(AE70="","","L")</f>
        <v/>
      </c>
      <c r="AG70" s="2866"/>
    </row>
    <row r="71" spans="1:34" ht="38.25" customHeight="1">
      <c r="A71" s="2454">
        <v>15</v>
      </c>
      <c r="B71" s="3245"/>
      <c r="C71" s="3246"/>
      <c r="D71" s="3246"/>
      <c r="E71" s="3247"/>
      <c r="F71" s="2878" t="s">
        <v>5</v>
      </c>
      <c r="G71" s="2878" t="s">
        <v>1634</v>
      </c>
      <c r="H71" s="2877" t="s">
        <v>1655</v>
      </c>
      <c r="I71" s="1761">
        <f>'XM.FILE GOC'!AD98</f>
        <v>0</v>
      </c>
      <c r="J71" s="969"/>
      <c r="K71" s="973"/>
      <c r="L71" s="974"/>
      <c r="M71" s="915"/>
      <c r="N71" s="2898"/>
      <c r="O71" s="1590"/>
      <c r="P71" s="2900"/>
      <c r="Q71" s="1761">
        <f>'XM.FILE GOC'!AK98</f>
        <v>0</v>
      </c>
      <c r="R71" s="969"/>
      <c r="S71" s="970"/>
      <c r="T71" s="974"/>
      <c r="U71" s="2236"/>
      <c r="V71" s="2898"/>
      <c r="W71" s="1590"/>
      <c r="X71" s="2900"/>
      <c r="Y71" s="1761">
        <f>'XM.FILE GOC'!AR98</f>
        <v>0</v>
      </c>
      <c r="Z71" s="969"/>
      <c r="AA71" s="973"/>
      <c r="AB71" s="974"/>
      <c r="AC71" s="915"/>
      <c r="AD71" s="2898"/>
      <c r="AE71" s="1590"/>
      <c r="AF71" s="2900"/>
      <c r="AG71" s="2866"/>
    </row>
    <row r="72" spans="1:34" ht="35.25" customHeight="1">
      <c r="A72" s="972"/>
      <c r="B72" s="2872" t="s">
        <v>1298</v>
      </c>
      <c r="C72" s="2873"/>
      <c r="D72" s="2873"/>
      <c r="E72" s="2873"/>
      <c r="F72" s="2873"/>
      <c r="G72" s="2873"/>
      <c r="H72" s="2873"/>
      <c r="I72" s="2422"/>
      <c r="J72" s="2422"/>
      <c r="K72" s="2422"/>
      <c r="L72" s="2422"/>
      <c r="M72" s="2422"/>
      <c r="N72" s="2422"/>
      <c r="O72" s="2422"/>
      <c r="P72" s="2422"/>
      <c r="Q72" s="2422"/>
      <c r="R72" s="2422"/>
      <c r="S72" s="2422"/>
      <c r="T72" s="2422"/>
      <c r="U72" s="2422"/>
      <c r="V72" s="2422"/>
      <c r="W72" s="2422"/>
      <c r="X72" s="2422"/>
      <c r="Y72" s="2422"/>
      <c r="Z72" s="2422"/>
      <c r="AA72" s="2422"/>
      <c r="AB72" s="2422"/>
      <c r="AC72" s="2422"/>
      <c r="AD72" s="2422"/>
      <c r="AE72" s="2422"/>
      <c r="AF72" s="2422"/>
      <c r="AG72" s="2423"/>
    </row>
    <row r="73" spans="1:34" ht="56.25" customHeight="1">
      <c r="A73" s="972" t="s">
        <v>7</v>
      </c>
      <c r="B73" s="3229" t="s">
        <v>948</v>
      </c>
      <c r="C73" s="3227"/>
      <c r="D73" s="3227"/>
      <c r="E73" s="3228"/>
      <c r="F73" s="2868" t="s">
        <v>949</v>
      </c>
      <c r="G73" s="2868" t="s">
        <v>1296</v>
      </c>
      <c r="H73" s="2204" t="s">
        <v>1289</v>
      </c>
      <c r="I73" s="3229" t="s">
        <v>950</v>
      </c>
      <c r="J73" s="3228"/>
      <c r="K73" s="3229" t="s">
        <v>951</v>
      </c>
      <c r="L73" s="3227"/>
      <c r="M73" s="917"/>
      <c r="N73" s="918"/>
      <c r="O73" s="918"/>
      <c r="P73" s="919"/>
      <c r="Q73" s="3227" t="s">
        <v>950</v>
      </c>
      <c r="R73" s="3228"/>
      <c r="S73" s="3229" t="s">
        <v>951</v>
      </c>
      <c r="T73" s="3228"/>
      <c r="U73" s="917"/>
      <c r="V73" s="918"/>
      <c r="W73" s="918"/>
      <c r="X73" s="919"/>
      <c r="Y73" s="3229" t="s">
        <v>950</v>
      </c>
      <c r="Z73" s="3228"/>
      <c r="AA73" s="3229" t="s">
        <v>951</v>
      </c>
      <c r="AB73" s="3228"/>
      <c r="AC73" s="917"/>
      <c r="AD73" s="918"/>
      <c r="AE73" s="918"/>
      <c r="AF73" s="919"/>
      <c r="AG73" s="10"/>
    </row>
    <row r="74" spans="1:34" ht="42.75" customHeight="1">
      <c r="A74" s="972">
        <v>1</v>
      </c>
      <c r="B74" s="3229" t="s">
        <v>1651</v>
      </c>
      <c r="C74" s="3227"/>
      <c r="D74" s="3227"/>
      <c r="E74" s="3228"/>
      <c r="F74" s="976" t="s">
        <v>953</v>
      </c>
      <c r="G74" s="897" t="str">
        <f>'XM.FILE GOC'!$E$105</f>
        <v>50~70</v>
      </c>
      <c r="H74" s="2202" t="str">
        <f>'XM.FILE GOC'!$F$105</f>
        <v>(60±5)</v>
      </c>
      <c r="I74" s="3121">
        <f>'XM.GUI MAIL'!AD105</f>
        <v>0</v>
      </c>
      <c r="J74" s="3121"/>
      <c r="K74" s="3121">
        <f>'XM.FILE GOC'!AG105</f>
        <v>0</v>
      </c>
      <c r="L74" s="3218"/>
      <c r="M74" s="920"/>
      <c r="N74" s="921"/>
      <c r="O74" s="921"/>
      <c r="P74" s="922"/>
      <c r="Q74" s="3195">
        <f>'XM.GUI MAIL'!AK105</f>
        <v>0</v>
      </c>
      <c r="R74" s="3121"/>
      <c r="S74" s="3121">
        <f>'XM.FILE GOC'!AN105</f>
        <v>0</v>
      </c>
      <c r="T74" s="3121"/>
      <c r="U74" s="920"/>
      <c r="V74" s="921"/>
      <c r="W74" s="921"/>
      <c r="X74" s="922"/>
      <c r="Y74" s="3121">
        <f>'XM.GUI MAIL'!AR105</f>
        <v>0</v>
      </c>
      <c r="Z74" s="3121"/>
      <c r="AA74" s="3121">
        <f>'XM.FILE GOC'!AU105</f>
        <v>0</v>
      </c>
      <c r="AB74" s="3121"/>
      <c r="AC74" s="920"/>
      <c r="AD74" s="921"/>
      <c r="AE74" s="921"/>
      <c r="AF74" s="922"/>
      <c r="AG74" s="75"/>
    </row>
    <row r="75" spans="1:34" ht="42.75" customHeight="1">
      <c r="A75" s="972">
        <v>2</v>
      </c>
      <c r="B75" s="3229" t="s">
        <v>1652</v>
      </c>
      <c r="C75" s="3227"/>
      <c r="D75" s="3227"/>
      <c r="E75" s="3228"/>
      <c r="F75" s="976" t="s">
        <v>953</v>
      </c>
      <c r="G75" s="897" t="str">
        <f>'XM.FILE GOC'!$E$106</f>
        <v>50~70</v>
      </c>
      <c r="H75" s="2202" t="str">
        <f>'XM.FILE GOC'!$F$106</f>
        <v>(60±5)</v>
      </c>
      <c r="I75" s="3121">
        <f>'XM.GUI MAIL'!AD106</f>
        <v>0</v>
      </c>
      <c r="J75" s="3121"/>
      <c r="K75" s="3121">
        <f>'XM.FILE GOC'!AG106</f>
        <v>0</v>
      </c>
      <c r="L75" s="3218"/>
      <c r="M75" s="920"/>
      <c r="N75" s="921"/>
      <c r="O75" s="921"/>
      <c r="P75" s="922"/>
      <c r="Q75" s="3195">
        <f>'XM.GUI MAIL'!AK106</f>
        <v>0</v>
      </c>
      <c r="R75" s="3121"/>
      <c r="S75" s="3121">
        <f>'XM.FILE GOC'!AN106</f>
        <v>0</v>
      </c>
      <c r="T75" s="3121"/>
      <c r="U75" s="920"/>
      <c r="V75" s="921"/>
      <c r="W75" s="921"/>
      <c r="X75" s="922"/>
      <c r="Y75" s="3121">
        <f>'XM.GUI MAIL'!AR106</f>
        <v>0</v>
      </c>
      <c r="Z75" s="3121"/>
      <c r="AA75" s="3121">
        <f>'XM.FILE GOC'!AU106</f>
        <v>0</v>
      </c>
      <c r="AB75" s="3121"/>
      <c r="AC75" s="920"/>
      <c r="AD75" s="921"/>
      <c r="AE75" s="921"/>
      <c r="AF75" s="922"/>
      <c r="AG75" s="75"/>
    </row>
    <row r="76" spans="1:34" ht="42.75" customHeight="1">
      <c r="A76" s="1366">
        <v>3</v>
      </c>
      <c r="B76" s="3229" t="s">
        <v>955</v>
      </c>
      <c r="C76" s="3227"/>
      <c r="D76" s="3227"/>
      <c r="E76" s="3228"/>
      <c r="F76" s="976" t="s">
        <v>953</v>
      </c>
      <c r="G76" s="897" t="str">
        <f>'XM.FILE GOC'!$E$107</f>
        <v>50~70</v>
      </c>
      <c r="H76" s="2202" t="str">
        <f>'XM.FILE GOC'!$F$107</f>
        <v>(60±5)</v>
      </c>
      <c r="I76" s="3121">
        <f>'XM.GUI MAIL'!AD107</f>
        <v>0</v>
      </c>
      <c r="J76" s="3121"/>
      <c r="K76" s="3121">
        <f>'XM.FILE GOC'!AG107</f>
        <v>0</v>
      </c>
      <c r="L76" s="3218"/>
      <c r="M76" s="920"/>
      <c r="N76" s="921"/>
      <c r="O76" s="921"/>
      <c r="P76" s="922"/>
      <c r="Q76" s="3195">
        <f>'XM.GUI MAIL'!AK107</f>
        <v>0</v>
      </c>
      <c r="R76" s="3121"/>
      <c r="S76" s="3121">
        <f>'XM.FILE GOC'!AN107</f>
        <v>0</v>
      </c>
      <c r="T76" s="3121"/>
      <c r="U76" s="920"/>
      <c r="V76" s="921"/>
      <c r="W76" s="921"/>
      <c r="X76" s="922"/>
      <c r="Y76" s="3121">
        <f>'XM.GUI MAIL'!AR107</f>
        <v>0</v>
      </c>
      <c r="Z76" s="3121"/>
      <c r="AA76" s="3121">
        <f>'XM.FILE GOC'!AU107</f>
        <v>0</v>
      </c>
      <c r="AB76" s="3121"/>
      <c r="AC76" s="920"/>
      <c r="AD76" s="921"/>
      <c r="AE76" s="921"/>
      <c r="AF76" s="922"/>
      <c r="AG76" s="75"/>
    </row>
    <row r="77" spans="1:34" ht="42.75" customHeight="1">
      <c r="A77" s="1366">
        <v>4</v>
      </c>
      <c r="B77" s="3229" t="s">
        <v>1653</v>
      </c>
      <c r="C77" s="3227"/>
      <c r="D77" s="3227"/>
      <c r="E77" s="3228"/>
      <c r="F77" s="976" t="s">
        <v>953</v>
      </c>
      <c r="G77" s="897" t="str">
        <f>'XM.FILE GOC'!$E$108</f>
        <v>50~70</v>
      </c>
      <c r="H77" s="2202" t="str">
        <f>'XM.FILE GOC'!$F$108</f>
        <v>(60±5)</v>
      </c>
      <c r="I77" s="3121">
        <f>'XM.GUI MAIL'!AD108</f>
        <v>0</v>
      </c>
      <c r="J77" s="3121"/>
      <c r="K77" s="3121">
        <f>'XM.FILE GOC'!AG108</f>
        <v>0</v>
      </c>
      <c r="L77" s="3218"/>
      <c r="M77" s="920"/>
      <c r="N77" s="921"/>
      <c r="O77" s="921"/>
      <c r="P77" s="922"/>
      <c r="Q77" s="3195">
        <f>'XM.GUI MAIL'!AK108</f>
        <v>0</v>
      </c>
      <c r="R77" s="3121"/>
      <c r="S77" s="3121">
        <f>'XM.FILE GOC'!AN108</f>
        <v>0</v>
      </c>
      <c r="T77" s="3121"/>
      <c r="U77" s="920"/>
      <c r="V77" s="921"/>
      <c r="W77" s="921"/>
      <c r="X77" s="922"/>
      <c r="Y77" s="3121">
        <f>'XM.GUI MAIL'!AR108</f>
        <v>0</v>
      </c>
      <c r="Z77" s="3121"/>
      <c r="AA77" s="3121">
        <f>'XM.FILE GOC'!AU108</f>
        <v>0</v>
      </c>
      <c r="AB77" s="3121"/>
      <c r="AC77" s="920"/>
      <c r="AD77" s="921"/>
      <c r="AE77" s="921"/>
      <c r="AF77" s="922"/>
      <c r="AG77" s="75"/>
    </row>
    <row r="78" spans="1:34" ht="42.75" customHeight="1">
      <c r="A78" s="1366">
        <v>5</v>
      </c>
      <c r="B78" s="3279" t="s">
        <v>957</v>
      </c>
      <c r="C78" s="3280"/>
      <c r="D78" s="3280"/>
      <c r="E78" s="3281"/>
      <c r="F78" s="2830" t="s">
        <v>953</v>
      </c>
      <c r="G78" s="2010" t="str">
        <f>'XM.FILE GOC'!$E$109</f>
        <v>22~28</v>
      </c>
      <c r="H78" s="2828" t="str">
        <f>'XM.FILE GOC'!$F$109</f>
        <v>(25±3)</v>
      </c>
      <c r="I78" s="3283">
        <f>'XM.GUI MAIL'!AD109</f>
        <v>0</v>
      </c>
      <c r="J78" s="3283"/>
      <c r="K78" s="3283">
        <f>'XM.FILE GOC'!AG109</f>
        <v>0</v>
      </c>
      <c r="L78" s="3295"/>
      <c r="M78" s="920"/>
      <c r="N78" s="921"/>
      <c r="O78" s="921"/>
      <c r="P78" s="922"/>
      <c r="Q78" s="3282">
        <f>'XM.GUI MAIL'!AK109</f>
        <v>0</v>
      </c>
      <c r="R78" s="3283"/>
      <c r="S78" s="3283">
        <f>'XM.FILE GOC'!AN109</f>
        <v>0</v>
      </c>
      <c r="T78" s="3283"/>
      <c r="U78" s="920"/>
      <c r="V78" s="921"/>
      <c r="W78" s="921"/>
      <c r="X78" s="922"/>
      <c r="Y78" s="3283">
        <f>'XM.GUI MAIL'!AR109</f>
        <v>0</v>
      </c>
      <c r="Z78" s="3283"/>
      <c r="AA78" s="3283">
        <f>'XM.FILE GOC'!AU109</f>
        <v>0</v>
      </c>
      <c r="AB78" s="3283"/>
      <c r="AC78" s="920"/>
      <c r="AD78" s="921"/>
      <c r="AE78" s="921"/>
      <c r="AF78" s="922"/>
      <c r="AG78" s="75"/>
    </row>
    <row r="79" spans="1:34" ht="42.75" customHeight="1">
      <c r="A79" s="1366">
        <v>6</v>
      </c>
      <c r="B79" s="3279" t="s">
        <v>1649</v>
      </c>
      <c r="C79" s="3280"/>
      <c r="D79" s="3280"/>
      <c r="E79" s="3281"/>
      <c r="F79" s="2830" t="s">
        <v>953</v>
      </c>
      <c r="G79" s="2010" t="str">
        <f>'XM.FILE GOC'!$E$110</f>
        <v>30~40</v>
      </c>
      <c r="H79" s="2828" t="str">
        <f>'XM.FILE GOC'!$F$110</f>
        <v>(34±3)</v>
      </c>
      <c r="I79" s="3121">
        <f>'XM.GUI MAIL'!AD110</f>
        <v>0</v>
      </c>
      <c r="J79" s="3121"/>
      <c r="K79" s="3121">
        <f>'XM.FILE GOC'!AG110</f>
        <v>0</v>
      </c>
      <c r="L79" s="3218"/>
      <c r="M79" s="920"/>
      <c r="N79" s="921"/>
      <c r="O79" s="921"/>
      <c r="P79" s="922"/>
      <c r="Q79" s="3195">
        <f>'XM.GUI MAIL'!AK110</f>
        <v>0</v>
      </c>
      <c r="R79" s="3121"/>
      <c r="S79" s="3121">
        <f>'XM.FILE GOC'!AN110</f>
        <v>0</v>
      </c>
      <c r="T79" s="3121"/>
      <c r="U79" s="920"/>
      <c r="V79" s="921"/>
      <c r="W79" s="921"/>
      <c r="X79" s="922"/>
      <c r="Y79" s="3121">
        <f>'XM.GUI MAIL'!AR110</f>
        <v>0</v>
      </c>
      <c r="Z79" s="3121"/>
      <c r="AA79" s="3121">
        <f>'XM.FILE GOC'!AU110</f>
        <v>0</v>
      </c>
      <c r="AB79" s="3121"/>
      <c r="AC79" s="920"/>
      <c r="AD79" s="921"/>
      <c r="AE79" s="921"/>
      <c r="AF79" s="922"/>
      <c r="AG79" s="75"/>
      <c r="AH79" s="944"/>
    </row>
    <row r="80" spans="1:34" ht="42.75" customHeight="1">
      <c r="A80" s="1366">
        <v>7</v>
      </c>
      <c r="B80" s="3229" t="s">
        <v>1650</v>
      </c>
      <c r="C80" s="3227"/>
      <c r="D80" s="3227"/>
      <c r="E80" s="3228"/>
      <c r="F80" s="976" t="s">
        <v>953</v>
      </c>
      <c r="G80" s="897" t="str">
        <f>'XM.FILE GOC'!$E$111</f>
        <v>55~65</v>
      </c>
      <c r="H80" s="2202" t="str">
        <f>'XM.FILE GOC'!$F$111</f>
        <v>(60±5)</v>
      </c>
      <c r="I80" s="3121">
        <f>'XM.GUI MAIL'!AD111</f>
        <v>0</v>
      </c>
      <c r="J80" s="3121"/>
      <c r="K80" s="3121">
        <f>'XM.FILE GOC'!AG111</f>
        <v>0</v>
      </c>
      <c r="L80" s="3218"/>
      <c r="M80" s="920"/>
      <c r="N80" s="921"/>
      <c r="O80" s="921"/>
      <c r="P80" s="922"/>
      <c r="Q80" s="3195">
        <f>'XM.GUI MAIL'!AK111</f>
        <v>0</v>
      </c>
      <c r="R80" s="3121"/>
      <c r="S80" s="3121">
        <f>'XM.FILE GOC'!AN111</f>
        <v>0</v>
      </c>
      <c r="T80" s="3121"/>
      <c r="U80" s="920"/>
      <c r="V80" s="921"/>
      <c r="W80" s="921"/>
      <c r="X80" s="922"/>
      <c r="Y80" s="3121">
        <f>'XM.GUI MAIL'!AR111</f>
        <v>0</v>
      </c>
      <c r="Z80" s="3121"/>
      <c r="AA80" s="3121">
        <f>'XM.FILE GOC'!AU111</f>
        <v>0</v>
      </c>
      <c r="AB80" s="3121"/>
      <c r="AC80" s="920"/>
      <c r="AD80" s="921"/>
      <c r="AE80" s="921"/>
      <c r="AF80" s="922"/>
      <c r="AG80" s="75"/>
    </row>
    <row r="81" spans="1:33" ht="42.75" customHeight="1">
      <c r="A81" s="1366">
        <v>8</v>
      </c>
      <c r="B81" s="3229" t="s">
        <v>960</v>
      </c>
      <c r="C81" s="3227"/>
      <c r="D81" s="3227"/>
      <c r="E81" s="3228"/>
      <c r="F81" s="976" t="s">
        <v>953</v>
      </c>
      <c r="G81" s="897" t="str">
        <f>'XM.FILE GOC'!$E$112</f>
        <v>80~100</v>
      </c>
      <c r="H81" s="2202" t="str">
        <f>'XM.FILE GOC'!$F$112</f>
        <v>(90±5)</v>
      </c>
      <c r="I81" s="3284" t="s">
        <v>46</v>
      </c>
      <c r="J81" s="3284"/>
      <c r="K81" s="3121">
        <f>'XM.FILE GOC'!AG112</f>
        <v>0</v>
      </c>
      <c r="L81" s="3218"/>
      <c r="M81" s="920"/>
      <c r="N81" s="921"/>
      <c r="O81" s="921"/>
      <c r="P81" s="922"/>
      <c r="Q81" s="3228" t="s">
        <v>46</v>
      </c>
      <c r="R81" s="3284"/>
      <c r="S81" s="3121">
        <f>'XM.FILE GOC'!AN112</f>
        <v>0</v>
      </c>
      <c r="T81" s="3121"/>
      <c r="U81" s="920"/>
      <c r="V81" s="921"/>
      <c r="W81" s="921"/>
      <c r="X81" s="922"/>
      <c r="Y81" s="3284" t="s">
        <v>46</v>
      </c>
      <c r="Z81" s="3284"/>
      <c r="AA81" s="3121">
        <f>'XM.FILE GOC'!AU112</f>
        <v>0</v>
      </c>
      <c r="AB81" s="3121"/>
      <c r="AC81" s="920"/>
      <c r="AD81" s="921"/>
      <c r="AE81" s="921"/>
      <c r="AF81" s="922"/>
      <c r="AG81" s="75"/>
    </row>
    <row r="82" spans="1:33" ht="42.75" customHeight="1">
      <c r="A82" s="1366">
        <v>9</v>
      </c>
      <c r="B82" s="3278" t="s">
        <v>1274</v>
      </c>
      <c r="C82" s="3168"/>
      <c r="D82" s="3168"/>
      <c r="E82" s="3169"/>
      <c r="F82" s="976" t="s">
        <v>953</v>
      </c>
      <c r="G82" s="897" t="str">
        <f>'XM.FILE GOC'!$E$113</f>
        <v>40~60</v>
      </c>
      <c r="H82" s="2202" t="str">
        <f>'XM.FILE GOC'!$F$113</f>
        <v>(50±10)</v>
      </c>
      <c r="I82" s="3277">
        <f>'XM.FILE GOC'!AD113</f>
        <v>0</v>
      </c>
      <c r="J82" s="3277"/>
      <c r="K82" s="3277">
        <f>'XM.FILE GOC'!AG113</f>
        <v>0</v>
      </c>
      <c r="L82" s="3296"/>
      <c r="M82" s="920"/>
      <c r="N82" s="921"/>
      <c r="O82" s="921"/>
      <c r="P82" s="922"/>
      <c r="Q82" s="3276">
        <f>'XM.FILE GOC'!AK113</f>
        <v>0</v>
      </c>
      <c r="R82" s="3277"/>
      <c r="S82" s="3277">
        <f>'XM.FILE GOC'!AN113</f>
        <v>0</v>
      </c>
      <c r="T82" s="3277"/>
      <c r="U82" s="920"/>
      <c r="V82" s="921"/>
      <c r="W82" s="921"/>
      <c r="X82" s="922"/>
      <c r="Y82" s="3277">
        <f>'XM.FILE GOC'!AR113</f>
        <v>0</v>
      </c>
      <c r="Z82" s="3277"/>
      <c r="AA82" s="3277">
        <f>'XM.FILE GOC'!AU113</f>
        <v>0</v>
      </c>
      <c r="AB82" s="3277"/>
      <c r="AC82" s="920"/>
      <c r="AD82" s="921"/>
      <c r="AE82" s="921"/>
      <c r="AF82" s="922"/>
      <c r="AG82" s="895"/>
    </row>
    <row r="83" spans="1:33" ht="42.75" customHeight="1">
      <c r="A83" s="1366">
        <v>10</v>
      </c>
      <c r="B83" s="3278" t="s">
        <v>1277</v>
      </c>
      <c r="C83" s="3168"/>
      <c r="D83" s="3168"/>
      <c r="E83" s="3169"/>
      <c r="F83" s="976" t="s">
        <v>953</v>
      </c>
      <c r="G83" s="897" t="str">
        <f>'XM.FILE GOC'!$E$114</f>
        <v>50~70</v>
      </c>
      <c r="H83" s="2202" t="str">
        <f>'XM.FILE GOC'!$F$114</f>
        <v>(60±10)</v>
      </c>
      <c r="I83" s="3277">
        <f>'XM.FILE GOC'!AD114</f>
        <v>0</v>
      </c>
      <c r="J83" s="3277"/>
      <c r="K83" s="3277">
        <f>'XM.FILE GOC'!AG114</f>
        <v>0</v>
      </c>
      <c r="L83" s="3296"/>
      <c r="M83" s="920"/>
      <c r="N83" s="921"/>
      <c r="O83" s="921"/>
      <c r="P83" s="922"/>
      <c r="Q83" s="3276">
        <f>'XM.FILE GOC'!AK114</f>
        <v>0</v>
      </c>
      <c r="R83" s="3277"/>
      <c r="S83" s="3277">
        <f>'XM.FILE GOC'!AN114</f>
        <v>0</v>
      </c>
      <c r="T83" s="3277"/>
      <c r="U83" s="920"/>
      <c r="V83" s="921"/>
      <c r="W83" s="921"/>
      <c r="X83" s="922"/>
      <c r="Y83" s="3277">
        <f>'XM.FILE GOC'!AR114</f>
        <v>0</v>
      </c>
      <c r="Z83" s="3277"/>
      <c r="AA83" s="3277">
        <f>'XM.FILE GOC'!AU114</f>
        <v>0</v>
      </c>
      <c r="AB83" s="3277"/>
      <c r="AC83" s="920"/>
      <c r="AD83" s="921"/>
      <c r="AE83" s="921"/>
      <c r="AF83" s="922"/>
      <c r="AG83" s="895"/>
    </row>
    <row r="84" spans="1:33" ht="42.75" customHeight="1">
      <c r="A84" s="2867">
        <v>11</v>
      </c>
      <c r="B84" s="3224" t="s">
        <v>1654</v>
      </c>
      <c r="C84" s="3225"/>
      <c r="D84" s="3225"/>
      <c r="E84" s="3226"/>
      <c r="F84" s="2830" t="s">
        <v>953</v>
      </c>
      <c r="G84" s="2880" t="s">
        <v>1511</v>
      </c>
      <c r="H84" s="2877" t="s">
        <v>1512</v>
      </c>
      <c r="I84" s="3222">
        <f>'XM.FILE GOC'!AD116</f>
        <v>0</v>
      </c>
      <c r="J84" s="3223"/>
      <c r="K84" s="3222">
        <f>'XM.FILE GOC'!AG116</f>
        <v>0</v>
      </c>
      <c r="L84" s="3223"/>
      <c r="M84" s="2874"/>
      <c r="N84" s="2875"/>
      <c r="O84" s="2875"/>
      <c r="P84" s="2875"/>
      <c r="Q84" s="3222">
        <f>'XM.FILE GOC'!AK116</f>
        <v>0</v>
      </c>
      <c r="R84" s="3223"/>
      <c r="S84" s="3222">
        <f>'XM.FILE GOC'!AN116</f>
        <v>0</v>
      </c>
      <c r="T84" s="3223"/>
      <c r="U84" s="2874"/>
      <c r="V84" s="2875"/>
      <c r="W84" s="2875"/>
      <c r="X84" s="2875"/>
      <c r="Y84" s="3222">
        <f>'XM.FILE GOC'!AR116</f>
        <v>0</v>
      </c>
      <c r="Z84" s="3223"/>
      <c r="AA84" s="3222">
        <f>'XM.FILE GOC'!AU116</f>
        <v>0</v>
      </c>
      <c r="AB84" s="3223"/>
      <c r="AC84" s="921"/>
      <c r="AD84" s="921"/>
      <c r="AE84" s="921"/>
      <c r="AF84" s="921"/>
      <c r="AG84" s="895"/>
    </row>
    <row r="85" spans="1:33" ht="42.75" hidden="1" customHeight="1">
      <c r="A85" s="2867">
        <v>12</v>
      </c>
      <c r="B85" s="3292" t="s">
        <v>979</v>
      </c>
      <c r="C85" s="3293"/>
      <c r="D85" s="3293"/>
      <c r="E85" s="3294"/>
      <c r="F85" s="11" t="s">
        <v>26</v>
      </c>
      <c r="G85" s="1008" t="str">
        <f>'XM.GUI MAIL'!$E$115</f>
        <v>20~30</v>
      </c>
      <c r="H85" s="2206" t="str">
        <f>'XM.GUI MAIL'!$F$115</f>
        <v>20~30</v>
      </c>
      <c r="I85" s="3090">
        <f>'XM.FILE GOC'!AD115</f>
        <v>0</v>
      </c>
      <c r="J85" s="3088"/>
      <c r="K85" s="3090">
        <f>'XM.FILE GOC'!AG115</f>
        <v>0</v>
      </c>
      <c r="L85" s="3091"/>
      <c r="M85" s="2178"/>
      <c r="N85" s="924"/>
      <c r="O85" s="924"/>
      <c r="P85" s="925"/>
      <c r="Q85" s="3288">
        <f>'XM.FILE GOC'!AK115</f>
        <v>0</v>
      </c>
      <c r="R85" s="3088"/>
      <c r="S85" s="3090">
        <f>'XM.FILE GOC'!AN115</f>
        <v>0</v>
      </c>
      <c r="T85" s="3088"/>
      <c r="U85" s="2178"/>
      <c r="V85" s="924"/>
      <c r="W85" s="924"/>
      <c r="X85" s="925"/>
      <c r="Y85" s="3090">
        <f>'XM.FILE GOC'!AR115</f>
        <v>0</v>
      </c>
      <c r="Z85" s="3088"/>
      <c r="AA85" s="3277">
        <f>'XM.FILE GOC'!AU115</f>
        <v>0</v>
      </c>
      <c r="AB85" s="3277"/>
      <c r="AC85" s="921"/>
      <c r="AD85" s="921"/>
      <c r="AE85" s="921"/>
      <c r="AF85" s="921"/>
      <c r="AG85" s="895"/>
    </row>
    <row r="86" spans="1:33" ht="36.75" customHeight="1">
      <c r="A86" s="972"/>
      <c r="B86" s="2872" t="s">
        <v>1297</v>
      </c>
      <c r="C86" s="2873"/>
      <c r="D86" s="2873"/>
      <c r="E86" s="2873"/>
      <c r="F86" s="2873"/>
      <c r="G86" s="2873"/>
      <c r="H86" s="2873"/>
      <c r="I86" s="2422"/>
      <c r="J86" s="2422"/>
      <c r="K86" s="2422"/>
      <c r="L86" s="2422"/>
      <c r="M86" s="2422"/>
      <c r="N86" s="2422"/>
      <c r="O86" s="2422"/>
      <c r="P86" s="2422"/>
      <c r="Q86" s="2422"/>
      <c r="R86" s="2422"/>
      <c r="S86" s="2422"/>
      <c r="T86" s="2422"/>
      <c r="U86" s="2422"/>
      <c r="V86" s="2422"/>
      <c r="W86" s="2422"/>
      <c r="X86" s="2422"/>
      <c r="Y86" s="2422"/>
      <c r="Z86" s="2422"/>
      <c r="AA86" s="2422"/>
      <c r="AB86" s="2422"/>
      <c r="AC86" s="2422"/>
      <c r="AD86" s="2422"/>
      <c r="AE86" s="2422"/>
      <c r="AF86" s="2422"/>
      <c r="AG86" s="2423"/>
    </row>
    <row r="87" spans="1:33" ht="51.75" customHeight="1">
      <c r="A87" s="972" t="s">
        <v>7</v>
      </c>
      <c r="B87" s="3229" t="s">
        <v>961</v>
      </c>
      <c r="C87" s="3227"/>
      <c r="D87" s="3227"/>
      <c r="E87" s="3228"/>
      <c r="F87" s="2868" t="s">
        <v>734</v>
      </c>
      <c r="G87" s="2868" t="s">
        <v>1296</v>
      </c>
      <c r="H87" s="2204" t="s">
        <v>1289</v>
      </c>
      <c r="I87" s="3229" t="s">
        <v>962</v>
      </c>
      <c r="J87" s="3227"/>
      <c r="K87" s="3227"/>
      <c r="L87" s="3228"/>
      <c r="M87" s="917"/>
      <c r="N87" s="918"/>
      <c r="O87" s="918"/>
      <c r="P87" s="919"/>
      <c r="Q87" s="3229" t="s">
        <v>962</v>
      </c>
      <c r="R87" s="3227"/>
      <c r="S87" s="3227"/>
      <c r="T87" s="3228"/>
      <c r="U87" s="917"/>
      <c r="V87" s="918"/>
      <c r="W87" s="918"/>
      <c r="X87" s="919"/>
      <c r="Y87" s="3229" t="s">
        <v>962</v>
      </c>
      <c r="Z87" s="3227"/>
      <c r="AA87" s="3227"/>
      <c r="AB87" s="3228"/>
      <c r="AC87" s="917"/>
      <c r="AD87" s="918"/>
      <c r="AE87" s="918"/>
      <c r="AF87" s="919"/>
      <c r="AG87" s="10"/>
    </row>
    <row r="88" spans="1:33" ht="40.5" customHeight="1">
      <c r="A88" s="972">
        <v>1</v>
      </c>
      <c r="B88" s="3285" t="s">
        <v>1568</v>
      </c>
      <c r="C88" s="3286"/>
      <c r="D88" s="3286"/>
      <c r="E88" s="3287"/>
      <c r="F88" s="2879" t="s">
        <v>1641</v>
      </c>
      <c r="G88" s="2010" t="str">
        <f>'XM.FILE GOC'!$E$120</f>
        <v>30~50 
(40)</v>
      </c>
      <c r="H88" s="2828" t="str">
        <f>'XM.FILE GOC'!$F$120</f>
        <v>30~50 
(40)</v>
      </c>
      <c r="I88" s="3098">
        <f>'XM.GUI MAIL'!AD120</f>
        <v>0</v>
      </c>
      <c r="J88" s="3099"/>
      <c r="K88" s="3099"/>
      <c r="L88" s="3099"/>
      <c r="M88" s="1302"/>
      <c r="N88" s="1303"/>
      <c r="O88" s="1303"/>
      <c r="P88" s="1304"/>
      <c r="Q88" s="3098">
        <f>'XM.GUI MAIL'!AK120</f>
        <v>0</v>
      </c>
      <c r="R88" s="3099"/>
      <c r="S88" s="3099"/>
      <c r="T88" s="3099"/>
      <c r="U88" s="1302"/>
      <c r="V88" s="1303"/>
      <c r="W88" s="1303"/>
      <c r="X88" s="1304"/>
      <c r="Y88" s="3098">
        <f>'XM.GUI MAIL'!AR120</f>
        <v>0</v>
      </c>
      <c r="Z88" s="3099"/>
      <c r="AA88" s="3099"/>
      <c r="AB88" s="3100"/>
      <c r="AC88" s="926"/>
      <c r="AD88" s="904"/>
      <c r="AE88" s="904"/>
      <c r="AF88" s="927"/>
      <c r="AG88" s="75"/>
    </row>
    <row r="89" spans="1:33" ht="40.5" customHeight="1">
      <c r="A89" s="972">
        <v>2</v>
      </c>
      <c r="B89" s="3285" t="s">
        <v>1569</v>
      </c>
      <c r="C89" s="3286"/>
      <c r="D89" s="3286"/>
      <c r="E89" s="3287"/>
      <c r="F89" s="2879" t="s">
        <v>1641</v>
      </c>
      <c r="G89" s="2010" t="str">
        <f>'XM.FILE GOC'!$E$121</f>
        <v>160~220
(180)</v>
      </c>
      <c r="H89" s="2828" t="str">
        <f>'XM.FILE GOC'!$F$121</f>
        <v>160~220
(180)</v>
      </c>
      <c r="I89" s="3098">
        <f>'XM.GUI MAIL'!AD121</f>
        <v>0</v>
      </c>
      <c r="J89" s="3099"/>
      <c r="K89" s="3099"/>
      <c r="L89" s="3099"/>
      <c r="M89" s="1299"/>
      <c r="N89" s="1300"/>
      <c r="O89" s="1300"/>
      <c r="P89" s="1301"/>
      <c r="Q89" s="3098">
        <f>'XM.GUI MAIL'!AK121</f>
        <v>0</v>
      </c>
      <c r="R89" s="3099"/>
      <c r="S89" s="3099"/>
      <c r="T89" s="3099"/>
      <c r="U89" s="1299"/>
      <c r="V89" s="1300"/>
      <c r="W89" s="1300"/>
      <c r="X89" s="1301"/>
      <c r="Y89" s="3098">
        <f>'XM.GUI MAIL'!AR121</f>
        <v>0</v>
      </c>
      <c r="Z89" s="3099"/>
      <c r="AA89" s="3099"/>
      <c r="AB89" s="3100"/>
      <c r="AC89" s="928"/>
      <c r="AD89" s="929"/>
      <c r="AE89" s="929"/>
      <c r="AF89" s="930"/>
      <c r="AG89" s="75"/>
    </row>
  </sheetData>
  <sheetProtection selectLockedCells="1"/>
  <mergeCells count="412">
    <mergeCell ref="AQ56:AR56"/>
    <mergeCell ref="AS56:AT56"/>
    <mergeCell ref="AY56:AZ56"/>
    <mergeCell ref="BA56:BB56"/>
    <mergeCell ref="BG56:BH56"/>
    <mergeCell ref="BI56:BJ56"/>
    <mergeCell ref="AJ58:AM58"/>
    <mergeCell ref="AQ58:AR58"/>
    <mergeCell ref="AS58:AT58"/>
    <mergeCell ref="AY58:AZ58"/>
    <mergeCell ref="BA58:BB58"/>
    <mergeCell ref="BG58:BH58"/>
    <mergeCell ref="BI58:BJ58"/>
    <mergeCell ref="AJ57:AM57"/>
    <mergeCell ref="AQ57:AR57"/>
    <mergeCell ref="AS57:AT57"/>
    <mergeCell ref="AY57:AZ57"/>
    <mergeCell ref="BA57:BB57"/>
    <mergeCell ref="BG57:BH57"/>
    <mergeCell ref="BI57:BJ57"/>
    <mergeCell ref="AJ56:AM56"/>
    <mergeCell ref="AJ51:AK52"/>
    <mergeCell ref="AL51:AM51"/>
    <mergeCell ref="AL52:AM52"/>
    <mergeCell ref="AJ53:AM53"/>
    <mergeCell ref="AQ48:AT48"/>
    <mergeCell ref="BI48:BJ48"/>
    <mergeCell ref="BL48:BM48"/>
    <mergeCell ref="BN48:BO48"/>
    <mergeCell ref="AI49:AI50"/>
    <mergeCell ref="AJ49:AM50"/>
    <mergeCell ref="AN49:AN50"/>
    <mergeCell ref="AO49:AO50"/>
    <mergeCell ref="AP49:AP50"/>
    <mergeCell ref="AQ49:AT49"/>
    <mergeCell ref="AU49:AX49"/>
    <mergeCell ref="AY49:BB49"/>
    <mergeCell ref="BC49:BF49"/>
    <mergeCell ref="BG49:BJ49"/>
    <mergeCell ref="BK49:BN49"/>
    <mergeCell ref="BO49:BO50"/>
    <mergeCell ref="AR50:AT50"/>
    <mergeCell ref="AV50:AX50"/>
    <mergeCell ref="AZ50:BB50"/>
    <mergeCell ref="BD50:BF50"/>
    <mergeCell ref="BH50:BJ50"/>
    <mergeCell ref="BL50:BN50"/>
    <mergeCell ref="BL47:BM47"/>
    <mergeCell ref="BN47:BO47"/>
    <mergeCell ref="AJ13:AM13"/>
    <mergeCell ref="AQ13:AR13"/>
    <mergeCell ref="AS13:AT13"/>
    <mergeCell ref="AY13:AZ13"/>
    <mergeCell ref="BA13:BB13"/>
    <mergeCell ref="BG13:BH13"/>
    <mergeCell ref="BI13:BJ13"/>
    <mergeCell ref="AJ12:AM12"/>
    <mergeCell ref="AQ12:AR12"/>
    <mergeCell ref="AS12:AT12"/>
    <mergeCell ref="AY12:AZ12"/>
    <mergeCell ref="BA12:BB12"/>
    <mergeCell ref="BG12:BH12"/>
    <mergeCell ref="BI12:BJ12"/>
    <mergeCell ref="BA11:BB11"/>
    <mergeCell ref="BG11:BH11"/>
    <mergeCell ref="BI11:BJ11"/>
    <mergeCell ref="AJ11:AM11"/>
    <mergeCell ref="AQ11:AR11"/>
    <mergeCell ref="AS11:AT11"/>
    <mergeCell ref="AY11:AZ11"/>
    <mergeCell ref="AJ6:AK7"/>
    <mergeCell ref="AL6:AM6"/>
    <mergeCell ref="AL7:AM7"/>
    <mergeCell ref="AJ8:AM8"/>
    <mergeCell ref="BL2:BM2"/>
    <mergeCell ref="BN2:BO2"/>
    <mergeCell ref="AQ3:AT3"/>
    <mergeCell ref="BL3:BM3"/>
    <mergeCell ref="BN3:BO3"/>
    <mergeCell ref="BG4:BJ4"/>
    <mergeCell ref="BK4:BN4"/>
    <mergeCell ref="BO4:BO5"/>
    <mergeCell ref="BH5:BJ5"/>
    <mergeCell ref="BL5:BN5"/>
    <mergeCell ref="AI4:AI5"/>
    <mergeCell ref="AJ4:AM5"/>
    <mergeCell ref="AN4:AN5"/>
    <mergeCell ref="AO4:AO5"/>
    <mergeCell ref="AP4:AP5"/>
    <mergeCell ref="AQ4:AT4"/>
    <mergeCell ref="AU4:AX4"/>
    <mergeCell ref="AY4:BB4"/>
    <mergeCell ref="BC4:BF4"/>
    <mergeCell ref="AR5:AT5"/>
    <mergeCell ref="AV5:AX5"/>
    <mergeCell ref="AZ5:BB5"/>
    <mergeCell ref="BD5:BF5"/>
    <mergeCell ref="Q40:R40"/>
    <mergeCell ref="S40:T40"/>
    <mergeCell ref="Y40:Z40"/>
    <mergeCell ref="AA40:AB40"/>
    <mergeCell ref="I85:J85"/>
    <mergeCell ref="K85:L85"/>
    <mergeCell ref="Q85:R85"/>
    <mergeCell ref="S85:T85"/>
    <mergeCell ref="Y85:Z85"/>
    <mergeCell ref="AA85:AB85"/>
    <mergeCell ref="I83:J83"/>
    <mergeCell ref="K83:L83"/>
    <mergeCell ref="Q83:R83"/>
    <mergeCell ref="S83:T83"/>
    <mergeCell ref="Y83:Z83"/>
    <mergeCell ref="AA83:AB83"/>
    <mergeCell ref="I81:J81"/>
    <mergeCell ref="S80:T80"/>
    <mergeCell ref="Y80:Z80"/>
    <mergeCell ref="AA76:AB76"/>
    <mergeCell ref="AA74:AB74"/>
    <mergeCell ref="AA79:AB79"/>
    <mergeCell ref="AA77:AB77"/>
    <mergeCell ref="AA75:AB75"/>
    <mergeCell ref="B82:E82"/>
    <mergeCell ref="I82:J82"/>
    <mergeCell ref="K82:L82"/>
    <mergeCell ref="Q82:R82"/>
    <mergeCell ref="S82:T82"/>
    <mergeCell ref="Y82:Z82"/>
    <mergeCell ref="AA82:AB82"/>
    <mergeCell ref="AA80:AB80"/>
    <mergeCell ref="K81:L81"/>
    <mergeCell ref="Q81:R81"/>
    <mergeCell ref="S81:T81"/>
    <mergeCell ref="Y81:Z81"/>
    <mergeCell ref="AA81:AB81"/>
    <mergeCell ref="B80:E80"/>
    <mergeCell ref="I80:J80"/>
    <mergeCell ref="K80:L80"/>
    <mergeCell ref="Q80:R80"/>
    <mergeCell ref="AD2:AE2"/>
    <mergeCell ref="AF2:AG2"/>
    <mergeCell ref="AD3:AE3"/>
    <mergeCell ref="AF3:AG3"/>
    <mergeCell ref="M49:P49"/>
    <mergeCell ref="N50:P50"/>
    <mergeCell ref="U49:X49"/>
    <mergeCell ref="V50:X50"/>
    <mergeCell ref="AC49:AF49"/>
    <mergeCell ref="AD50:AF50"/>
    <mergeCell ref="AD47:AE47"/>
    <mergeCell ref="AF47:AG47"/>
    <mergeCell ref="AD48:AE48"/>
    <mergeCell ref="AF48:AG48"/>
    <mergeCell ref="AA48:AB48"/>
    <mergeCell ref="AA35:AB35"/>
    <mergeCell ref="AA33:AB33"/>
    <mergeCell ref="AA31:AB31"/>
    <mergeCell ref="AA29:AB29"/>
    <mergeCell ref="Q33:R33"/>
    <mergeCell ref="S33:T33"/>
    <mergeCell ref="Y33:Z33"/>
    <mergeCell ref="AA36:AB36"/>
    <mergeCell ref="AA30:AB30"/>
    <mergeCell ref="I3:L3"/>
    <mergeCell ref="I48:L48"/>
    <mergeCell ref="B89:E89"/>
    <mergeCell ref="I89:L89"/>
    <mergeCell ref="Q89:T89"/>
    <mergeCell ref="Y89:AB89"/>
    <mergeCell ref="B87:E87"/>
    <mergeCell ref="I87:L87"/>
    <mergeCell ref="Q87:T87"/>
    <mergeCell ref="Y87:AB87"/>
    <mergeCell ref="B88:E88"/>
    <mergeCell ref="I88:L88"/>
    <mergeCell ref="Q88:T88"/>
    <mergeCell ref="Y88:AB88"/>
    <mergeCell ref="B85:E85"/>
    <mergeCell ref="B83:E83"/>
    <mergeCell ref="B81:E81"/>
    <mergeCell ref="AA78:AB78"/>
    <mergeCell ref="B79:E79"/>
    <mergeCell ref="I79:J79"/>
    <mergeCell ref="K79:L79"/>
    <mergeCell ref="Q79:R79"/>
    <mergeCell ref="S79:T79"/>
    <mergeCell ref="Y79:Z79"/>
    <mergeCell ref="B78:E78"/>
    <mergeCell ref="I78:J78"/>
    <mergeCell ref="K78:L78"/>
    <mergeCell ref="Q78:R78"/>
    <mergeCell ref="S78:T78"/>
    <mergeCell ref="Y78:Z78"/>
    <mergeCell ref="B77:E77"/>
    <mergeCell ref="I77:J77"/>
    <mergeCell ref="K77:L77"/>
    <mergeCell ref="Q77:R77"/>
    <mergeCell ref="S77:T77"/>
    <mergeCell ref="Y77:Z77"/>
    <mergeCell ref="B76:E76"/>
    <mergeCell ref="I76:J76"/>
    <mergeCell ref="K76:L76"/>
    <mergeCell ref="Q76:R76"/>
    <mergeCell ref="S76:T76"/>
    <mergeCell ref="Y76:Z76"/>
    <mergeCell ref="B75:E75"/>
    <mergeCell ref="I75:J75"/>
    <mergeCell ref="K75:L75"/>
    <mergeCell ref="Q75:R75"/>
    <mergeCell ref="S75:T75"/>
    <mergeCell ref="Y75:Z75"/>
    <mergeCell ref="I74:J74"/>
    <mergeCell ref="K74:L74"/>
    <mergeCell ref="Q74:R74"/>
    <mergeCell ref="S74:T74"/>
    <mergeCell ref="Y74:Z74"/>
    <mergeCell ref="B67:E67"/>
    <mergeCell ref="B73:E73"/>
    <mergeCell ref="I73:J73"/>
    <mergeCell ref="K73:L73"/>
    <mergeCell ref="Q73:R73"/>
    <mergeCell ref="S73:T73"/>
    <mergeCell ref="Y73:Z73"/>
    <mergeCell ref="A61:A62"/>
    <mergeCell ref="B61:D62"/>
    <mergeCell ref="E61:E62"/>
    <mergeCell ref="B64:E64"/>
    <mergeCell ref="A53:A54"/>
    <mergeCell ref="B53:C54"/>
    <mergeCell ref="D53:E53"/>
    <mergeCell ref="D54:E54"/>
    <mergeCell ref="A55:A56"/>
    <mergeCell ref="B55:C56"/>
    <mergeCell ref="D55:E55"/>
    <mergeCell ref="D56:E56"/>
    <mergeCell ref="A57:A58"/>
    <mergeCell ref="B57:C58"/>
    <mergeCell ref="D57:E57"/>
    <mergeCell ref="D58:E58"/>
    <mergeCell ref="A59:A60"/>
    <mergeCell ref="B59:B60"/>
    <mergeCell ref="C59:E59"/>
    <mergeCell ref="C60:E60"/>
    <mergeCell ref="B63:E63"/>
    <mergeCell ref="A51:A52"/>
    <mergeCell ref="B51:C52"/>
    <mergeCell ref="D51:E51"/>
    <mergeCell ref="D52:E52"/>
    <mergeCell ref="A49:A50"/>
    <mergeCell ref="B49:E50"/>
    <mergeCell ref="B43:E43"/>
    <mergeCell ref="B42:E42"/>
    <mergeCell ref="B39:E39"/>
    <mergeCell ref="B40:E40"/>
    <mergeCell ref="AG49:AG50"/>
    <mergeCell ref="J50:L50"/>
    <mergeCell ref="R50:T50"/>
    <mergeCell ref="Z50:AB50"/>
    <mergeCell ref="Y42:AB42"/>
    <mergeCell ref="I43:L43"/>
    <mergeCell ref="Q43:T43"/>
    <mergeCell ref="Y43:AB43"/>
    <mergeCell ref="B38:E38"/>
    <mergeCell ref="B44:E44"/>
    <mergeCell ref="F49:F50"/>
    <mergeCell ref="G49:G50"/>
    <mergeCell ref="I49:L49"/>
    <mergeCell ref="Q49:T49"/>
    <mergeCell ref="Y49:AB49"/>
    <mergeCell ref="H49:H50"/>
    <mergeCell ref="I38:J38"/>
    <mergeCell ref="K38:L38"/>
    <mergeCell ref="Q38:R38"/>
    <mergeCell ref="S38:T38"/>
    <mergeCell ref="Y38:Z38"/>
    <mergeCell ref="AA38:AB38"/>
    <mergeCell ref="I40:J40"/>
    <mergeCell ref="K40:L40"/>
    <mergeCell ref="B34:E34"/>
    <mergeCell ref="I34:J34"/>
    <mergeCell ref="K34:L34"/>
    <mergeCell ref="Q34:R34"/>
    <mergeCell ref="S34:T34"/>
    <mergeCell ref="Y34:Z34"/>
    <mergeCell ref="Q35:R35"/>
    <mergeCell ref="S35:T35"/>
    <mergeCell ref="Y35:Z35"/>
    <mergeCell ref="B35:E35"/>
    <mergeCell ref="I35:J35"/>
    <mergeCell ref="K35:L35"/>
    <mergeCell ref="I37:J37"/>
    <mergeCell ref="K37:L37"/>
    <mergeCell ref="Q37:R37"/>
    <mergeCell ref="S37:T37"/>
    <mergeCell ref="Y37:Z37"/>
    <mergeCell ref="B37:E37"/>
    <mergeCell ref="AA37:AB37"/>
    <mergeCell ref="B32:E32"/>
    <mergeCell ref="I32:J32"/>
    <mergeCell ref="K32:L32"/>
    <mergeCell ref="Q32:R32"/>
    <mergeCell ref="S32:T32"/>
    <mergeCell ref="Y32:Z32"/>
    <mergeCell ref="AA32:AB32"/>
    <mergeCell ref="AA34:AB34"/>
    <mergeCell ref="B33:E33"/>
    <mergeCell ref="I33:J33"/>
    <mergeCell ref="K33:L33"/>
    <mergeCell ref="B36:E36"/>
    <mergeCell ref="I36:J36"/>
    <mergeCell ref="K36:L36"/>
    <mergeCell ref="Q36:R36"/>
    <mergeCell ref="S36:T36"/>
    <mergeCell ref="Y36:Z36"/>
    <mergeCell ref="B31:E31"/>
    <mergeCell ref="I31:J31"/>
    <mergeCell ref="K31:L31"/>
    <mergeCell ref="Q31:R31"/>
    <mergeCell ref="S31:T31"/>
    <mergeCell ref="Y31:Z31"/>
    <mergeCell ref="B30:E30"/>
    <mergeCell ref="I30:J30"/>
    <mergeCell ref="K30:L30"/>
    <mergeCell ref="Q30:R30"/>
    <mergeCell ref="S30:T30"/>
    <mergeCell ref="Y30:Z30"/>
    <mergeCell ref="B14:B15"/>
    <mergeCell ref="B18:E18"/>
    <mergeCell ref="B20:E20"/>
    <mergeCell ref="B29:E29"/>
    <mergeCell ref="I29:J29"/>
    <mergeCell ref="K29:L29"/>
    <mergeCell ref="Q29:R29"/>
    <mergeCell ref="S29:T29"/>
    <mergeCell ref="Y29:Z29"/>
    <mergeCell ref="B22:E22"/>
    <mergeCell ref="B28:E28"/>
    <mergeCell ref="I28:J28"/>
    <mergeCell ref="K28:L28"/>
    <mergeCell ref="Q28:R28"/>
    <mergeCell ref="S28:T28"/>
    <mergeCell ref="Y28:Z28"/>
    <mergeCell ref="B25:E26"/>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4:A5"/>
    <mergeCell ref="B4:E5"/>
    <mergeCell ref="F4:F5"/>
    <mergeCell ref="G4:G5"/>
    <mergeCell ref="I4:L4"/>
    <mergeCell ref="Q4:T4"/>
    <mergeCell ref="Y4:AB4"/>
    <mergeCell ref="AJ9:AM9"/>
    <mergeCell ref="AJ54:AM54"/>
    <mergeCell ref="A8:A9"/>
    <mergeCell ref="B8:C9"/>
    <mergeCell ref="D8:E8"/>
    <mergeCell ref="D9:E9"/>
    <mergeCell ref="A10:A11"/>
    <mergeCell ref="B10:C11"/>
    <mergeCell ref="D10:E10"/>
    <mergeCell ref="D11:E11"/>
    <mergeCell ref="A16:A17"/>
    <mergeCell ref="B16:D17"/>
    <mergeCell ref="E16:E17"/>
    <mergeCell ref="AA28:AB28"/>
    <mergeCell ref="B23:E24"/>
    <mergeCell ref="B19:E19"/>
    <mergeCell ref="B21:E21"/>
    <mergeCell ref="A12:A13"/>
    <mergeCell ref="B12:C13"/>
    <mergeCell ref="D12:E12"/>
    <mergeCell ref="D13:E13"/>
    <mergeCell ref="A14:A15"/>
    <mergeCell ref="C14:E14"/>
    <mergeCell ref="C15:E15"/>
    <mergeCell ref="I39:J39"/>
    <mergeCell ref="K39:L39"/>
    <mergeCell ref="Q39:R39"/>
    <mergeCell ref="S39:T39"/>
    <mergeCell ref="Y39:Z39"/>
    <mergeCell ref="AA39:AB39"/>
    <mergeCell ref="B84:E84"/>
    <mergeCell ref="I84:J84"/>
    <mergeCell ref="K84:L84"/>
    <mergeCell ref="Q84:R84"/>
    <mergeCell ref="S84:T84"/>
    <mergeCell ref="Y84:Z84"/>
    <mergeCell ref="AA84:AB84"/>
    <mergeCell ref="I44:L44"/>
    <mergeCell ref="Q44:T44"/>
    <mergeCell ref="Y44:AB44"/>
    <mergeCell ref="I42:L42"/>
    <mergeCell ref="Q42:T42"/>
    <mergeCell ref="AA73:AB73"/>
    <mergeCell ref="B68:E69"/>
    <mergeCell ref="B66:E66"/>
    <mergeCell ref="B65:E65"/>
    <mergeCell ref="B70:E71"/>
    <mergeCell ref="B74:E74"/>
  </mergeCells>
  <phoneticPr fontId="7" type="noConversion"/>
  <conditionalFormatting sqref="I88 Y88 Q88 I43 Y43 Q43">
    <cfRule type="expression" dxfId="3434" priority="2428">
      <formula>I43&lt;30</formula>
    </cfRule>
    <cfRule type="expression" dxfId="3433" priority="2429">
      <formula>I43&gt;50</formula>
    </cfRule>
  </conditionalFormatting>
  <conditionalFormatting sqref="I89 Y89 Q89 Y44 Q44 I44">
    <cfRule type="expression" dxfId="3432" priority="2426">
      <formula>I44&lt;160</formula>
    </cfRule>
    <cfRule type="expression" dxfId="3431" priority="2427">
      <formula>I44&gt;220</formula>
    </cfRule>
  </conditionalFormatting>
  <conditionalFormatting sqref="I78:L78 Q78:T78 Y78:AB78 I33:L33 Q33:T33 Y33:AB33">
    <cfRule type="expression" dxfId="3430" priority="954">
      <formula>I33&lt;22</formula>
    </cfRule>
    <cfRule type="expression" dxfId="3429" priority="955">
      <formula>I33&gt;28</formula>
    </cfRule>
  </conditionalFormatting>
  <conditionalFormatting sqref="I74:L77 Q74:T77 Y74:AB77 I29:L32 Q29:T32 Y29:AB32">
    <cfRule type="cellIs" dxfId="3428" priority="950" operator="between">
      <formula>50</formula>
      <formula>54.9</formula>
    </cfRule>
    <cfRule type="cellIs" dxfId="3427" priority="951" operator="between">
      <formula>65.1</formula>
      <formula>70</formula>
    </cfRule>
    <cfRule type="expression" dxfId="3426" priority="952">
      <formula>I29&lt;50</formula>
    </cfRule>
    <cfRule type="expression" dxfId="3425" priority="953">
      <formula>I29&gt;70</formula>
    </cfRule>
  </conditionalFormatting>
  <conditionalFormatting sqref="K79 I79 S79 Q79 AA79 Y79 K34 I34 S34 Q34 AA34 Y34">
    <cfRule type="cellIs" dxfId="3424" priority="946" operator="between">
      <formula>30</formula>
      <formula>30.9</formula>
    </cfRule>
    <cfRule type="cellIs" dxfId="3423" priority="947" operator="between">
      <formula>37.1</formula>
      <formula>40</formula>
    </cfRule>
    <cfRule type="expression" dxfId="3422" priority="948">
      <formula>I34&lt;30</formula>
    </cfRule>
    <cfRule type="expression" dxfId="3421" priority="949">
      <formula>I34&gt;40</formula>
    </cfRule>
  </conditionalFormatting>
  <conditionalFormatting sqref="K80 I80 S80 Q80 AA80 Y80 K35 I35 S35 Q35 AA35 Y35">
    <cfRule type="expression" dxfId="3420" priority="944">
      <formula>I35&lt;55</formula>
    </cfRule>
    <cfRule type="expression" dxfId="3419" priority="945">
      <formula>I35&gt;65</formula>
    </cfRule>
  </conditionalFormatting>
  <conditionalFormatting sqref="K81 S81 AA81 K36 S36 AA36">
    <cfRule type="cellIs" dxfId="3418" priority="940" operator="between">
      <formula>80</formula>
      <formula>84.9</formula>
    </cfRule>
    <cfRule type="cellIs" dxfId="3417" priority="941" operator="between">
      <formula>95.1</formula>
      <formula>100</formula>
    </cfRule>
    <cfRule type="expression" dxfId="3416" priority="942">
      <formula>K36&lt;80</formula>
    </cfRule>
    <cfRule type="expression" dxfId="3415" priority="943">
      <formula>K36&gt;100</formula>
    </cfRule>
  </conditionalFormatting>
  <conditionalFormatting sqref="K82 I82 S82 Q82 AA82 Y82 K37 I37 S37 Q37 AA37 Y37">
    <cfRule type="expression" dxfId="3414" priority="938">
      <formula>I37&lt;40</formula>
    </cfRule>
    <cfRule type="expression" dxfId="3413" priority="939">
      <formula>I37&gt;60</formula>
    </cfRule>
  </conditionalFormatting>
  <conditionalFormatting sqref="AA38 I38 Q38 K38 Y38 S38 K83 S83 Q83 AA83 Y83 I83">
    <cfRule type="expression" dxfId="3412" priority="936">
      <formula>I38&lt;50</formula>
    </cfRule>
    <cfRule type="expression" dxfId="3411" priority="937">
      <formula>I38&gt;70</formula>
    </cfRule>
  </conditionalFormatting>
  <conditionalFormatting sqref="I59 Q59 Y59 I14 Q14 Y14">
    <cfRule type="expression" dxfId="3410" priority="687" stopIfTrue="1">
      <formula>I14&lt;135</formula>
    </cfRule>
  </conditionalFormatting>
  <conditionalFormatting sqref="I59 Q59 Y59 I14 Q14 Y14">
    <cfRule type="expression" dxfId="3409" priority="686" stopIfTrue="1">
      <formula>I14&gt;145</formula>
    </cfRule>
  </conditionalFormatting>
  <conditionalFormatting sqref="I61 Q61 Y61 I16 Q16 Y16">
    <cfRule type="cellIs" dxfId="3408" priority="681" operator="between">
      <formula>7.01</formula>
      <formula>8</formula>
    </cfRule>
    <cfRule type="expression" dxfId="3407" priority="682">
      <formula>I16&lt;5</formula>
    </cfRule>
    <cfRule type="expression" dxfId="3406" priority="683">
      <formula>I16&gt;8</formula>
    </cfRule>
  </conditionalFormatting>
  <conditionalFormatting sqref="I55 I57 Q55 Q57 Y55 Y57 I10 I12 Q10 Q12 Y10 Y12">
    <cfRule type="cellIs" dxfId="3405" priority="673" operator="between">
      <formula>50</formula>
      <formula>54.99</formula>
    </cfRule>
    <cfRule type="cellIs" dxfId="3404" priority="674" operator="between">
      <formula>65.01</formula>
      <formula>70</formula>
    </cfRule>
    <cfRule type="expression" dxfId="3403" priority="675">
      <formula>I10&lt;50</formula>
    </cfRule>
    <cfRule type="expression" dxfId="3402" priority="676">
      <formula>I10&gt;70</formula>
    </cfRule>
  </conditionalFormatting>
  <conditionalFormatting sqref="I51 I53 Q51 Q53 Y51 Y53 I6 I8 Q6 Q8 Y6 Y8">
    <cfRule type="cellIs" dxfId="3401" priority="669" operator="between">
      <formula>40</formula>
      <formula>44.99</formula>
    </cfRule>
    <cfRule type="cellIs" dxfId="3400" priority="670" operator="between">
      <formula>55.1</formula>
      <formula>60</formula>
    </cfRule>
    <cfRule type="expression" dxfId="3399" priority="671">
      <formula>I6&lt;40</formula>
    </cfRule>
    <cfRule type="expression" dxfId="3398" priority="672">
      <formula>I6&gt;60</formula>
    </cfRule>
  </conditionalFormatting>
  <conditionalFormatting sqref="AQ58 BG58 AS58 AY58 BA58 BI58 I85 K85 Q85 S85 Y85 AA85 I40 K40 Q40 S40 Y40 AA40 AQ13 BG13 AS13 AY13 BA13 BI13">
    <cfRule type="expression" dxfId="3397" priority="500">
      <formula>I13&lt;20</formula>
    </cfRule>
    <cfRule type="expression" dxfId="3396" priority="501">
      <formula>I13&gt;30</formula>
    </cfRule>
  </conditionalFormatting>
  <conditionalFormatting sqref="I60 Q60 Y60 I15 Q15 Y15">
    <cfRule type="cellIs" dxfId="3395" priority="474" operator="between">
      <formula>7</formula>
      <formula>7.499</formula>
    </cfRule>
    <cfRule type="cellIs" dxfId="3394" priority="475" operator="between">
      <formula>9.51</formula>
      <formula>10</formula>
    </cfRule>
    <cfRule type="expression" dxfId="3393" priority="476">
      <formula>I15&lt;7</formula>
    </cfRule>
    <cfRule type="expression" dxfId="3392" priority="477">
      <formula>I15&gt;10</formula>
    </cfRule>
  </conditionalFormatting>
  <conditionalFormatting sqref="Q62 Y62 I62 I17 Q17 Y17">
    <cfRule type="cellIs" dxfId="3391" priority="450" operator="between">
      <formula>2</formula>
      <formula>2.099</formula>
    </cfRule>
    <cfRule type="cellIs" dxfId="3390" priority="451" operator="between">
      <formula>2.31</formula>
      <formula>2.4</formula>
    </cfRule>
    <cfRule type="expression" dxfId="3389" priority="452">
      <formula>I17&lt;2</formula>
    </cfRule>
    <cfRule type="expression" dxfId="3388" priority="453">
      <formula>I17&gt;2.4</formula>
    </cfRule>
  </conditionalFormatting>
  <conditionalFormatting sqref="I68 Q68 Y68 I23 Q23 Y23">
    <cfRule type="cellIs" dxfId="3387" priority="426" operator="between">
      <formula>5</formula>
      <formula>5.499</formula>
    </cfRule>
    <cfRule type="cellIs" dxfId="3386" priority="427" operator="between">
      <formula>6.51</formula>
      <formula>8</formula>
    </cfRule>
    <cfRule type="expression" dxfId="3385" priority="428">
      <formula>I23&lt;5</formula>
    </cfRule>
    <cfRule type="expression" dxfId="3384" priority="429">
      <formula>I23&gt;8</formula>
    </cfRule>
  </conditionalFormatting>
  <conditionalFormatting sqref="I24 Y69 I69 Q69">
    <cfRule type="cellIs" dxfId="3383" priority="422" operator="between">
      <formula>1.8</formula>
      <formula>1.999</formula>
    </cfRule>
    <cfRule type="cellIs" dxfId="3382" priority="423" operator="between">
      <formula>2.21</formula>
      <formula>2.4</formula>
    </cfRule>
    <cfRule type="expression" dxfId="3381" priority="424">
      <formula>I24&lt;1.8</formula>
    </cfRule>
    <cfRule type="expression" dxfId="3380" priority="425">
      <formula>I24&gt;2.4</formula>
    </cfRule>
  </conditionalFormatting>
  <conditionalFormatting sqref="I18 I20:I21 Q18 Q20:Q21 Y18 Y20:Y21 I63 I65:I66 Q63 Q65:Q66 Y63 Y65:Y66">
    <cfRule type="expression" dxfId="3379" priority="370">
      <formula>I18&lt;40%</formula>
    </cfRule>
    <cfRule type="expression" dxfId="3378" priority="371">
      <formula>I18&gt;50%</formula>
    </cfRule>
  </conditionalFormatting>
  <conditionalFormatting sqref="AQ57 BG57 AS57 AY57 BA57 BI57 AQ12 BG12 AS12 AY12 BA12 BI12">
    <cfRule type="expression" dxfId="3377" priority="304">
      <formula>AQ12&lt;24</formula>
    </cfRule>
    <cfRule type="expression" dxfId="3376" priority="305">
      <formula>AQ12&gt;28</formula>
    </cfRule>
  </conditionalFormatting>
  <conditionalFormatting sqref="AQ52 AY52 BG52 AQ7 AY7 BG7 BG9 AY9">
    <cfRule type="expression" dxfId="3375" priority="302" stopIfTrue="1">
      <formula>AQ7&gt;140</formula>
    </cfRule>
    <cfRule type="expression" dxfId="3374" priority="303" stopIfTrue="1">
      <formula>AQ7&lt;130</formula>
    </cfRule>
  </conditionalFormatting>
  <conditionalFormatting sqref="BG53:BG54 AY53:AY54 AQ53:AQ54 BG8:BG9 AY8:AY9 AQ8">
    <cfRule type="cellIs" dxfId="3373" priority="299" operator="between">
      <formula>3</formula>
      <formula>4.099</formula>
    </cfRule>
    <cfRule type="expression" dxfId="3372" priority="300">
      <formula>AQ8&lt;3</formula>
    </cfRule>
    <cfRule type="expression" dxfId="3371" priority="301">
      <formula>AQ8&gt;4.5</formula>
    </cfRule>
  </conditionalFormatting>
  <conditionalFormatting sqref="AQ51 AY51 BG51 AQ6 AY6 BG6">
    <cfRule type="expression" dxfId="3370" priority="297">
      <formula>AQ6&lt;5</formula>
    </cfRule>
    <cfRule type="expression" dxfId="3369" priority="298">
      <formula>AQ6&gt;6</formula>
    </cfRule>
  </conditionalFormatting>
  <conditionalFormatting sqref="AQ54 AY54 BG54">
    <cfRule type="expression" dxfId="3368" priority="145" stopIfTrue="1">
      <formula>AQ54&gt;140</formula>
    </cfRule>
    <cfRule type="expression" dxfId="3367" priority="146" stopIfTrue="1">
      <formula>AQ54&lt;130</formula>
    </cfRule>
  </conditionalFormatting>
  <conditionalFormatting sqref="BG54 AY54">
    <cfRule type="expression" dxfId="3366" priority="143" stopIfTrue="1">
      <formula>AY54&gt;140</formula>
    </cfRule>
    <cfRule type="expression" dxfId="3365" priority="144" stopIfTrue="1">
      <formula>AY54&lt;130</formula>
    </cfRule>
  </conditionalFormatting>
  <conditionalFormatting sqref="I19">
    <cfRule type="expression" dxfId="3364" priority="141">
      <formula>I19&lt;10%</formula>
    </cfRule>
    <cfRule type="expression" dxfId="3363" priority="142">
      <formula>I19&gt;20%</formula>
    </cfRule>
  </conditionalFormatting>
  <conditionalFormatting sqref="Q19">
    <cfRule type="expression" dxfId="3362" priority="139">
      <formula>Q19&lt;10%</formula>
    </cfRule>
    <cfRule type="expression" dxfId="3361" priority="140">
      <formula>Q19&gt;20%</formula>
    </cfRule>
  </conditionalFormatting>
  <conditionalFormatting sqref="Y19">
    <cfRule type="expression" dxfId="3360" priority="137">
      <formula>Y19&lt;10%</formula>
    </cfRule>
    <cfRule type="expression" dxfId="3359" priority="138">
      <formula>Y19&gt;20%</formula>
    </cfRule>
  </conditionalFormatting>
  <conditionalFormatting sqref="I64">
    <cfRule type="expression" dxfId="3358" priority="135">
      <formula>I64&lt;10%</formula>
    </cfRule>
    <cfRule type="expression" dxfId="3357" priority="136">
      <formula>I64&gt;20%</formula>
    </cfRule>
  </conditionalFormatting>
  <conditionalFormatting sqref="Q64">
    <cfRule type="expression" dxfId="3356" priority="133">
      <formula>Q64&lt;10%</formula>
    </cfRule>
    <cfRule type="expression" dxfId="3355" priority="134">
      <formula>Q64&gt;20%</formula>
    </cfRule>
  </conditionalFormatting>
  <conditionalFormatting sqref="Y64">
    <cfRule type="expression" dxfId="3354" priority="131">
      <formula>Y64&lt;10%</formula>
    </cfRule>
    <cfRule type="expression" dxfId="3353" priority="132">
      <formula>Y64&gt;20%</formula>
    </cfRule>
  </conditionalFormatting>
  <conditionalFormatting sqref="I84">
    <cfRule type="expression" dxfId="3352" priority="121">
      <formula>I84&lt;30</formula>
    </cfRule>
    <cfRule type="expression" dxfId="3351" priority="122">
      <formula>I84&gt;40</formula>
    </cfRule>
  </conditionalFormatting>
  <conditionalFormatting sqref="I84:J84">
    <cfRule type="cellIs" dxfId="3350" priority="119" operator="between">
      <formula>37.1</formula>
      <formula>40</formula>
    </cfRule>
    <cfRule type="cellIs" dxfId="3349" priority="120" operator="between">
      <formula>30</formula>
      <formula>30.9</formula>
    </cfRule>
  </conditionalFormatting>
  <conditionalFormatting sqref="K84">
    <cfRule type="expression" dxfId="3348" priority="117">
      <formula>K84&lt;30</formula>
    </cfRule>
    <cfRule type="expression" dxfId="3347" priority="118">
      <formula>K84&gt;40</formula>
    </cfRule>
  </conditionalFormatting>
  <conditionalFormatting sqref="K84:L84">
    <cfRule type="cellIs" dxfId="3346" priority="115" operator="between">
      <formula>37.1</formula>
      <formula>40</formula>
    </cfRule>
    <cfRule type="cellIs" dxfId="3345" priority="116" operator="between">
      <formula>30</formula>
      <formula>30.9</formula>
    </cfRule>
  </conditionalFormatting>
  <conditionalFormatting sqref="Q84">
    <cfRule type="expression" dxfId="3344" priority="113">
      <formula>Q84&lt;30</formula>
    </cfRule>
    <cfRule type="expression" dxfId="3343" priority="114">
      <formula>Q84&gt;40</formula>
    </cfRule>
  </conditionalFormatting>
  <conditionalFormatting sqref="Q84:R84">
    <cfRule type="cellIs" dxfId="3342" priority="111" operator="between">
      <formula>37.1</formula>
      <formula>40</formula>
    </cfRule>
    <cfRule type="cellIs" dxfId="3341" priority="112" operator="between">
      <formula>30</formula>
      <formula>30.9</formula>
    </cfRule>
  </conditionalFormatting>
  <conditionalFormatting sqref="S84">
    <cfRule type="expression" dxfId="3340" priority="109">
      <formula>S84&lt;30</formula>
    </cfRule>
    <cfRule type="expression" dxfId="3339" priority="110">
      <formula>S84&gt;40</formula>
    </cfRule>
  </conditionalFormatting>
  <conditionalFormatting sqref="S84:T84">
    <cfRule type="cellIs" dxfId="3338" priority="107" operator="between">
      <formula>37.1</formula>
      <formula>40</formula>
    </cfRule>
    <cfRule type="cellIs" dxfId="3337" priority="108" operator="between">
      <formula>30</formula>
      <formula>30.9</formula>
    </cfRule>
  </conditionalFormatting>
  <conditionalFormatting sqref="Y84">
    <cfRule type="expression" dxfId="3336" priority="105">
      <formula>Y84&lt;30</formula>
    </cfRule>
    <cfRule type="expression" dxfId="3335" priority="106">
      <formula>Y84&gt;40</formula>
    </cfRule>
  </conditionalFormatting>
  <conditionalFormatting sqref="Y84:Z84">
    <cfRule type="cellIs" dxfId="3334" priority="103" operator="between">
      <formula>37.1</formula>
      <formula>40</formula>
    </cfRule>
    <cfRule type="cellIs" dxfId="3333" priority="104" operator="between">
      <formula>30</formula>
      <formula>30.9</formula>
    </cfRule>
  </conditionalFormatting>
  <conditionalFormatting sqref="AA84">
    <cfRule type="expression" dxfId="3332" priority="101">
      <formula>AA84&lt;30</formula>
    </cfRule>
    <cfRule type="expression" dxfId="3331" priority="102">
      <formula>AA84&gt;40</formula>
    </cfRule>
  </conditionalFormatting>
  <conditionalFormatting sqref="AA84:AB84">
    <cfRule type="cellIs" dxfId="3330" priority="99" operator="between">
      <formula>37.1</formula>
      <formula>40</formula>
    </cfRule>
    <cfRule type="cellIs" dxfId="3329" priority="100" operator="between">
      <formula>30</formula>
      <formula>30.9</formula>
    </cfRule>
  </conditionalFormatting>
  <conditionalFormatting sqref="I39">
    <cfRule type="expression" dxfId="3328" priority="97">
      <formula>I39&lt;30</formula>
    </cfRule>
    <cfRule type="expression" dxfId="3327" priority="98">
      <formula>I39&gt;40</formula>
    </cfRule>
  </conditionalFormatting>
  <conditionalFormatting sqref="I39:J39">
    <cfRule type="cellIs" dxfId="3326" priority="95" operator="between">
      <formula>37.1</formula>
      <formula>40</formula>
    </cfRule>
    <cfRule type="cellIs" dxfId="3325" priority="96" operator="between">
      <formula>30</formula>
      <formula>30.9</formula>
    </cfRule>
  </conditionalFormatting>
  <conditionalFormatting sqref="K39">
    <cfRule type="expression" dxfId="3324" priority="93">
      <formula>K39&lt;30</formula>
    </cfRule>
    <cfRule type="expression" dxfId="3323" priority="94">
      <formula>K39&gt;40</formula>
    </cfRule>
  </conditionalFormatting>
  <conditionalFormatting sqref="K39:L39">
    <cfRule type="cellIs" dxfId="3322" priority="91" operator="between">
      <formula>37.1</formula>
      <formula>40</formula>
    </cfRule>
    <cfRule type="cellIs" dxfId="3321" priority="92" operator="between">
      <formula>30</formula>
      <formula>30.9</formula>
    </cfRule>
  </conditionalFormatting>
  <conditionalFormatting sqref="Q39">
    <cfRule type="expression" dxfId="3320" priority="89">
      <formula>Q39&lt;30</formula>
    </cfRule>
    <cfRule type="expression" dxfId="3319" priority="90">
      <formula>Q39&gt;40</formula>
    </cfRule>
  </conditionalFormatting>
  <conditionalFormatting sqref="Q39:R39">
    <cfRule type="cellIs" dxfId="3318" priority="87" operator="between">
      <formula>37.1</formula>
      <formula>40</formula>
    </cfRule>
    <cfRule type="cellIs" dxfId="3317" priority="88" operator="between">
      <formula>30</formula>
      <formula>30.9</formula>
    </cfRule>
  </conditionalFormatting>
  <conditionalFormatting sqref="S39">
    <cfRule type="expression" dxfId="3316" priority="85">
      <formula>S39&lt;30</formula>
    </cfRule>
    <cfRule type="expression" dxfId="3315" priority="86">
      <formula>S39&gt;40</formula>
    </cfRule>
  </conditionalFormatting>
  <conditionalFormatting sqref="S39:T39">
    <cfRule type="cellIs" dxfId="3314" priority="83" operator="between">
      <formula>37.1</formula>
      <formula>40</formula>
    </cfRule>
    <cfRule type="cellIs" dxfId="3313" priority="84" operator="between">
      <formula>30</formula>
      <formula>30.9</formula>
    </cfRule>
  </conditionalFormatting>
  <conditionalFormatting sqref="Y39">
    <cfRule type="expression" dxfId="3312" priority="81">
      <formula>Y39&lt;30</formula>
    </cfRule>
    <cfRule type="expression" dxfId="3311" priority="82">
      <formula>Y39&gt;40</formula>
    </cfRule>
  </conditionalFormatting>
  <conditionalFormatting sqref="Y39:Z39">
    <cfRule type="cellIs" dxfId="3310" priority="79" operator="between">
      <formula>37.1</formula>
      <formula>40</formula>
    </cfRule>
    <cfRule type="cellIs" dxfId="3309" priority="80" operator="between">
      <formula>30</formula>
      <formula>30.9</formula>
    </cfRule>
  </conditionalFormatting>
  <conditionalFormatting sqref="AA39">
    <cfRule type="expression" dxfId="3308" priority="77">
      <formula>AA39&lt;30</formula>
    </cfRule>
    <cfRule type="expression" dxfId="3307" priority="78">
      <formula>AA39&gt;40</formula>
    </cfRule>
  </conditionalFormatting>
  <conditionalFormatting sqref="AA39:AB39">
    <cfRule type="cellIs" dxfId="3306" priority="75" operator="between">
      <formula>37.1</formula>
      <formula>40</formula>
    </cfRule>
    <cfRule type="cellIs" dxfId="3305" priority="76" operator="between">
      <formula>30</formula>
      <formula>30.9</formula>
    </cfRule>
  </conditionalFormatting>
  <conditionalFormatting sqref="I70">
    <cfRule type="cellIs" dxfId="3304" priority="72" operator="between">
      <formula>16.1</formula>
      <formula>18</formula>
    </cfRule>
    <cfRule type="expression" dxfId="3303" priority="73">
      <formula>I70&lt;12</formula>
    </cfRule>
    <cfRule type="expression" dxfId="3302" priority="74">
      <formula>I70&gt;18</formula>
    </cfRule>
  </conditionalFormatting>
  <conditionalFormatting sqref="I71">
    <cfRule type="cellIs" dxfId="3301" priority="68" operator="between">
      <formula>1.5</formula>
      <formula>1.599</formula>
    </cfRule>
    <cfRule type="cellIs" dxfId="3300" priority="69" operator="between">
      <formula>1.81</formula>
      <formula>1.9</formula>
    </cfRule>
    <cfRule type="expression" dxfId="3299" priority="70">
      <formula>I71&lt;1.5</formula>
    </cfRule>
    <cfRule type="expression" dxfId="3298" priority="71">
      <formula>I71&gt;1.9</formula>
    </cfRule>
  </conditionalFormatting>
  <conditionalFormatting sqref="Y70">
    <cfRule type="cellIs" dxfId="3297" priority="65" operator="between">
      <formula>16.1</formula>
      <formula>18</formula>
    </cfRule>
    <cfRule type="expression" dxfId="3296" priority="66">
      <formula>Y70&lt;12</formula>
    </cfRule>
    <cfRule type="expression" dxfId="3295" priority="67">
      <formula>Y70&gt;18</formula>
    </cfRule>
  </conditionalFormatting>
  <conditionalFormatting sqref="Y71">
    <cfRule type="cellIs" dxfId="3294" priority="61" operator="between">
      <formula>1.5</formula>
      <formula>1.599</formula>
    </cfRule>
    <cfRule type="cellIs" dxfId="3293" priority="62" operator="between">
      <formula>1.81</formula>
      <formula>1.9</formula>
    </cfRule>
    <cfRule type="expression" dxfId="3292" priority="63">
      <formula>Y71&lt;1.5</formula>
    </cfRule>
    <cfRule type="expression" dxfId="3291" priority="64">
      <formula>Y71&gt;1.9</formula>
    </cfRule>
  </conditionalFormatting>
  <conditionalFormatting sqref="Q70">
    <cfRule type="cellIs" dxfId="3290" priority="58" operator="between">
      <formula>16.1</formula>
      <formula>18</formula>
    </cfRule>
    <cfRule type="expression" dxfId="3289" priority="59">
      <formula>Q70&lt;12</formula>
    </cfRule>
    <cfRule type="expression" dxfId="3288" priority="60">
      <formula>Q70&gt;18</formula>
    </cfRule>
  </conditionalFormatting>
  <conditionalFormatting sqref="Q71">
    <cfRule type="cellIs" dxfId="3287" priority="54" operator="between">
      <formula>1.5</formula>
      <formula>1.599</formula>
    </cfRule>
    <cfRule type="cellIs" dxfId="3286" priority="55" operator="between">
      <formula>1.81</formula>
      <formula>1.9</formula>
    </cfRule>
    <cfRule type="expression" dxfId="3285" priority="56">
      <formula>Q71&lt;1.5</formula>
    </cfRule>
    <cfRule type="expression" dxfId="3284" priority="57">
      <formula>Q71&gt;1.9</formula>
    </cfRule>
  </conditionalFormatting>
  <conditionalFormatting sqref="I25">
    <cfRule type="cellIs" dxfId="3283" priority="51" operator="between">
      <formula>16.1</formula>
      <formula>18</formula>
    </cfRule>
    <cfRule type="expression" dxfId="3282" priority="52">
      <formula>I25&lt;12</formula>
    </cfRule>
    <cfRule type="expression" dxfId="3281" priority="53">
      <formula>I25&gt;18</formula>
    </cfRule>
  </conditionalFormatting>
  <conditionalFormatting sqref="I26">
    <cfRule type="cellIs" dxfId="3280" priority="47" operator="between">
      <formula>1.5</formula>
      <formula>1.599</formula>
    </cfRule>
    <cfRule type="cellIs" dxfId="3279" priority="48" operator="between">
      <formula>1.81</formula>
      <formula>1.9</formula>
    </cfRule>
    <cfRule type="expression" dxfId="3278" priority="49">
      <formula>I26&lt;1.5</formula>
    </cfRule>
    <cfRule type="expression" dxfId="3277" priority="50">
      <formula>I26&gt;1.9</formula>
    </cfRule>
  </conditionalFormatting>
  <conditionalFormatting sqref="Y25">
    <cfRule type="cellIs" dxfId="3276" priority="44" operator="between">
      <formula>16.1</formula>
      <formula>18</formula>
    </cfRule>
    <cfRule type="expression" dxfId="3275" priority="45">
      <formula>Y25&lt;12</formula>
    </cfRule>
    <cfRule type="expression" dxfId="3274" priority="46">
      <formula>Y25&gt;18</formula>
    </cfRule>
  </conditionalFormatting>
  <conditionalFormatting sqref="Y26">
    <cfRule type="cellIs" dxfId="3273" priority="40" operator="between">
      <formula>1.5</formula>
      <formula>1.599</formula>
    </cfRule>
    <cfRule type="cellIs" dxfId="3272" priority="41" operator="between">
      <formula>1.81</formula>
      <formula>1.9</formula>
    </cfRule>
    <cfRule type="expression" dxfId="3271" priority="42">
      <formula>Y26&lt;1.5</formula>
    </cfRule>
    <cfRule type="expression" dxfId="3270" priority="43">
      <formula>Y26&gt;1.9</formula>
    </cfRule>
  </conditionalFormatting>
  <conditionalFormatting sqref="Q25">
    <cfRule type="cellIs" dxfId="3269" priority="37" operator="between">
      <formula>16.1</formula>
      <formula>18</formula>
    </cfRule>
    <cfRule type="expression" dxfId="3268" priority="38">
      <formula>Q25&lt;12</formula>
    </cfRule>
    <cfRule type="expression" dxfId="3267" priority="39">
      <formula>Q25&gt;18</formula>
    </cfRule>
  </conditionalFormatting>
  <conditionalFormatting sqref="Q26">
    <cfRule type="cellIs" dxfId="3266" priority="33" operator="between">
      <formula>1.5</formula>
      <formula>1.599</formula>
    </cfRule>
    <cfRule type="cellIs" dxfId="3265" priority="34" operator="between">
      <formula>1.81</formula>
      <formula>1.9</formula>
    </cfRule>
    <cfRule type="expression" dxfId="3264" priority="35">
      <formula>Q26&lt;1.5</formula>
    </cfRule>
    <cfRule type="expression" dxfId="3263" priority="36">
      <formula>Q26&gt;1.9</formula>
    </cfRule>
  </conditionalFormatting>
  <conditionalFormatting sqref="I22">
    <cfRule type="cellIs" dxfId="3262" priority="29" operator="between">
      <formula>0.5%</formula>
      <formula>0.599%</formula>
    </cfRule>
    <cfRule type="cellIs" dxfId="3261" priority="30" operator="between">
      <formula>0.81%</formula>
      <formula>1%</formula>
    </cfRule>
    <cfRule type="expression" dxfId="3260" priority="31">
      <formula>I22&lt;0.5%</formula>
    </cfRule>
    <cfRule type="expression" dxfId="3259" priority="32">
      <formula>I22&gt;1%</formula>
    </cfRule>
  </conditionalFormatting>
  <conditionalFormatting sqref="Q22">
    <cfRule type="cellIs" dxfId="3258" priority="25" operator="between">
      <formula>0.5%</formula>
      <formula>0.599%</formula>
    </cfRule>
    <cfRule type="cellIs" dxfId="3257" priority="26" operator="between">
      <formula>0.81%</formula>
      <formula>1%</formula>
    </cfRule>
    <cfRule type="expression" dxfId="3256" priority="27">
      <formula>Q22&lt;0.5%</formula>
    </cfRule>
    <cfRule type="expression" dxfId="3255" priority="28">
      <formula>Q22&gt;1%</formula>
    </cfRule>
  </conditionalFormatting>
  <conditionalFormatting sqref="Y22">
    <cfRule type="cellIs" dxfId="3254" priority="21" operator="between">
      <formula>0.5%</formula>
      <formula>0.599%</formula>
    </cfRule>
    <cfRule type="cellIs" dxfId="3253" priority="22" operator="between">
      <formula>0.81%</formula>
      <formula>1%</formula>
    </cfRule>
    <cfRule type="expression" dxfId="3252" priority="23">
      <formula>Y22&lt;0.5%</formula>
    </cfRule>
    <cfRule type="expression" dxfId="3251" priority="24">
      <formula>Y22&gt;1%</formula>
    </cfRule>
  </conditionalFormatting>
  <conditionalFormatting sqref="I67">
    <cfRule type="cellIs" dxfId="3250" priority="17" operator="between">
      <formula>0.5%</formula>
      <formula>0.599%</formula>
    </cfRule>
    <cfRule type="cellIs" dxfId="3249" priority="18" operator="between">
      <formula>0.81%</formula>
      <formula>1%</formula>
    </cfRule>
    <cfRule type="expression" dxfId="3248" priority="19">
      <formula>I67&lt;0.5%</formula>
    </cfRule>
    <cfRule type="expression" dxfId="3247" priority="20">
      <formula>I67&gt;1%</formula>
    </cfRule>
  </conditionalFormatting>
  <conditionalFormatting sqref="Q67">
    <cfRule type="cellIs" dxfId="3246" priority="13" operator="between">
      <formula>0.5%</formula>
      <formula>0.599%</formula>
    </cfRule>
    <cfRule type="cellIs" dxfId="3245" priority="14" operator="between">
      <formula>0.81%</formula>
      <formula>1%</formula>
    </cfRule>
    <cfRule type="expression" dxfId="3244" priority="15">
      <formula>Q67&lt;0.5%</formula>
    </cfRule>
    <cfRule type="expression" dxfId="3243" priority="16">
      <formula>Q67&gt;1%</formula>
    </cfRule>
  </conditionalFormatting>
  <conditionalFormatting sqref="Y67">
    <cfRule type="cellIs" dxfId="3242" priority="9" operator="between">
      <formula>0.5%</formula>
      <formula>0.599%</formula>
    </cfRule>
    <cfRule type="cellIs" dxfId="3241" priority="10" operator="between">
      <formula>0.81%</formula>
      <formula>1%</formula>
    </cfRule>
    <cfRule type="expression" dxfId="3240" priority="11">
      <formula>Y67&lt;0.5%</formula>
    </cfRule>
    <cfRule type="expression" dxfId="3239" priority="12">
      <formula>Y67&gt;1%</formula>
    </cfRule>
  </conditionalFormatting>
  <conditionalFormatting sqref="Q24">
    <cfRule type="cellIs" dxfId="3238" priority="5" operator="between">
      <formula>1.8</formula>
      <formula>1.999</formula>
    </cfRule>
    <cfRule type="cellIs" dxfId="3237" priority="6" operator="between">
      <formula>2.21</formula>
      <formula>2.4</formula>
    </cfRule>
    <cfRule type="expression" dxfId="3236" priority="7">
      <formula>Q24&lt;1.8</formula>
    </cfRule>
    <cfRule type="expression" dxfId="3235" priority="8">
      <formula>Q24&gt;2.4</formula>
    </cfRule>
  </conditionalFormatting>
  <conditionalFormatting sqref="Y24">
    <cfRule type="cellIs" dxfId="3234" priority="1" operator="between">
      <formula>1.8</formula>
      <formula>1.999</formula>
    </cfRule>
    <cfRule type="cellIs" dxfId="3233" priority="2" operator="between">
      <formula>2.21</formula>
      <formula>2.4</formula>
    </cfRule>
    <cfRule type="expression" dxfId="3232" priority="3">
      <formula>Y24&lt;1.8</formula>
    </cfRule>
    <cfRule type="expression" dxfId="3231" priority="4">
      <formula>Y24&gt;2.4</formula>
    </cfRule>
  </conditionalFormatting>
  <pageMargins left="0.39"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rgb="FF99FF66"/>
  </sheetPr>
  <dimension ref="A1:AL69"/>
  <sheetViews>
    <sheetView view="pageBreakPreview" zoomScale="55" zoomScaleNormal="55" zoomScaleSheetLayoutView="55" workbookViewId="0">
      <selection activeCell="N6" sqref="N6"/>
    </sheetView>
  </sheetViews>
  <sheetFormatPr defaultRowHeight="16.5"/>
  <cols>
    <col min="1" max="1" width="5" style="979" customWidth="1"/>
    <col min="2" max="2" width="8" style="980" customWidth="1"/>
    <col min="3" max="3" width="3.5" style="980" customWidth="1"/>
    <col min="4" max="4" width="6" style="980" customWidth="1"/>
    <col min="5" max="5" width="4.375" style="980" customWidth="1"/>
    <col min="6" max="6" width="7.5" style="981" customWidth="1"/>
    <col min="7" max="7" width="14.125" style="981" customWidth="1"/>
    <col min="8" max="8" width="11.625" style="981" customWidth="1"/>
    <col min="9" max="9" width="8.375" style="981" customWidth="1"/>
    <col min="10" max="10" width="2.625" style="981" customWidth="1"/>
    <col min="11" max="11" width="8" style="981" customWidth="1"/>
    <col min="12" max="12" width="4" style="981" customWidth="1"/>
    <col min="13" max="13" width="7.5" style="944" customWidth="1"/>
    <col min="14" max="14" width="2.75" style="944" customWidth="1"/>
    <col min="15" max="15" width="8.75" style="944" customWidth="1"/>
    <col min="16" max="16" width="4" style="944" customWidth="1"/>
    <col min="17" max="17" width="8.25" style="981" customWidth="1"/>
    <col min="18" max="18" width="2.375" style="981" customWidth="1"/>
    <col min="19" max="19" width="8.25" style="981" customWidth="1"/>
    <col min="20" max="20" width="4.25" style="981" customWidth="1"/>
    <col min="21" max="21" width="7.75" style="944" customWidth="1"/>
    <col min="22" max="22" width="4" style="944" customWidth="1"/>
    <col min="23" max="23" width="7.875" style="944" customWidth="1"/>
    <col min="24" max="24" width="3.75" style="944" customWidth="1"/>
    <col min="25" max="25" width="7.5" style="981" customWidth="1"/>
    <col min="26" max="26" width="4.25" style="981" customWidth="1"/>
    <col min="27" max="27" width="7.625" style="981" customWidth="1"/>
    <col min="28" max="28" width="4.875" style="981" customWidth="1"/>
    <col min="29" max="29" width="7" style="944" customWidth="1"/>
    <col min="30" max="30" width="3.75" style="944" customWidth="1"/>
    <col min="31" max="31" width="7.5" style="944" customWidth="1"/>
    <col min="32" max="32" width="4.25" style="944" customWidth="1"/>
    <col min="33" max="33" width="7.625" style="8" customWidth="1"/>
    <col min="34" max="16384" width="9" style="8"/>
  </cols>
  <sheetData>
    <row r="1" spans="1:38" ht="28.5" customHeight="1">
      <c r="B1" s="1540" t="s">
        <v>134</v>
      </c>
      <c r="C1" s="1540"/>
      <c r="D1" s="1540"/>
      <c r="E1" s="1540"/>
      <c r="F1" s="1540"/>
      <c r="G1" s="1540"/>
      <c r="H1" s="1540"/>
      <c r="I1" s="1540"/>
      <c r="J1" s="1540"/>
      <c r="K1" s="1540"/>
      <c r="L1" s="1540"/>
      <c r="M1" s="1540"/>
      <c r="N1" s="1540"/>
      <c r="O1" s="1540"/>
      <c r="P1" s="1540"/>
      <c r="Q1" s="1540"/>
      <c r="R1" s="1540"/>
      <c r="S1" s="1540"/>
      <c r="T1" s="1540"/>
      <c r="U1" s="1540"/>
      <c r="V1" s="1540"/>
      <c r="W1" s="1540"/>
      <c r="X1" s="1540"/>
      <c r="Y1" s="1540"/>
      <c r="Z1" s="1540"/>
      <c r="AA1" s="2418"/>
      <c r="AB1" s="2418"/>
      <c r="AC1" s="2419"/>
      <c r="AD1" s="945"/>
      <c r="AE1" s="945"/>
      <c r="AF1" s="945"/>
      <c r="AG1" s="60"/>
    </row>
    <row r="2" spans="1:38" ht="51.75" customHeight="1">
      <c r="B2" s="2420" t="s">
        <v>1493</v>
      </c>
      <c r="C2" s="2420"/>
      <c r="D2" s="2420"/>
      <c r="E2" s="2420"/>
      <c r="F2" s="2420"/>
      <c r="G2" s="2420"/>
      <c r="H2" s="2420"/>
      <c r="I2" s="2420"/>
      <c r="J2" s="2420"/>
      <c r="K2" s="2420"/>
      <c r="L2" s="2420"/>
      <c r="M2" s="2420"/>
      <c r="N2" s="2420"/>
      <c r="O2" s="2420"/>
      <c r="P2" s="2420"/>
      <c r="Q2" s="2420"/>
      <c r="R2" s="2420"/>
      <c r="S2" s="2420"/>
      <c r="T2" s="2420"/>
      <c r="U2" s="2420"/>
      <c r="V2" s="2420"/>
      <c r="W2" s="2420"/>
      <c r="X2" s="2420"/>
      <c r="Y2" s="2420"/>
      <c r="Z2" s="2420"/>
      <c r="AA2" s="2418"/>
      <c r="AB2" s="2418"/>
      <c r="AC2" s="2419"/>
      <c r="AD2" s="3128" t="s">
        <v>87</v>
      </c>
      <c r="AE2" s="3128"/>
      <c r="AF2" s="3130" t="s">
        <v>88</v>
      </c>
      <c r="AG2" s="3131"/>
    </row>
    <row r="3" spans="1:38" ht="32.25" customHeight="1">
      <c r="A3" s="967"/>
      <c r="B3" s="1418" t="s">
        <v>126</v>
      </c>
      <c r="C3" s="1419"/>
      <c r="D3" s="1389"/>
      <c r="E3" s="1390"/>
      <c r="F3" s="1391"/>
      <c r="G3" s="1388" t="s">
        <v>1594</v>
      </c>
      <c r="H3" s="1812" t="str">
        <f>MENU!$AC$9</f>
        <v>Thứ 5,</v>
      </c>
      <c r="I3" s="3196" t="str">
        <f>MENU!$AD$9</f>
        <v>2024/08/01</v>
      </c>
      <c r="J3" s="3197"/>
      <c r="K3" s="3197"/>
      <c r="L3" s="3197"/>
      <c r="M3" s="942"/>
      <c r="N3" s="942"/>
      <c r="O3" s="942"/>
      <c r="P3" s="942"/>
      <c r="Q3" s="968"/>
      <c r="R3" s="968"/>
      <c r="S3" s="968"/>
      <c r="T3" s="968"/>
      <c r="U3" s="942"/>
      <c r="V3" s="942"/>
      <c r="W3" s="942"/>
      <c r="X3" s="942"/>
      <c r="Y3" s="968"/>
      <c r="Z3" s="968"/>
      <c r="AA3" s="982"/>
      <c r="AB3" s="982"/>
      <c r="AC3" s="945"/>
      <c r="AD3" s="3129" t="str">
        <f>MENU!AE6</f>
        <v>L.Yen</v>
      </c>
      <c r="AE3" s="3129"/>
      <c r="AF3" s="3132" t="s">
        <v>11</v>
      </c>
      <c r="AG3" s="3133"/>
    </row>
    <row r="4" spans="1:38" s="61" customFormat="1" ht="46.5" customHeight="1">
      <c r="A4" s="3273" t="s">
        <v>7</v>
      </c>
      <c r="B4" s="3151" t="s">
        <v>75</v>
      </c>
      <c r="C4" s="3152"/>
      <c r="D4" s="3152"/>
      <c r="E4" s="3153"/>
      <c r="F4" s="3149" t="s">
        <v>123</v>
      </c>
      <c r="G4" s="3180" t="s">
        <v>1296</v>
      </c>
      <c r="H4" s="3185" t="s">
        <v>1289</v>
      </c>
      <c r="I4" s="3209">
        <v>0.30208333333333331</v>
      </c>
      <c r="J4" s="3168"/>
      <c r="K4" s="3168"/>
      <c r="L4" s="3169"/>
      <c r="M4" s="3123" t="s">
        <v>929</v>
      </c>
      <c r="N4" s="3271"/>
      <c r="O4" s="3271"/>
      <c r="P4" s="3272"/>
      <c r="Q4" s="3167">
        <v>0.46875</v>
      </c>
      <c r="R4" s="3168"/>
      <c r="S4" s="3168"/>
      <c r="T4" s="3169"/>
      <c r="U4" s="3123" t="s">
        <v>929</v>
      </c>
      <c r="V4" s="3124"/>
      <c r="W4" s="3124"/>
      <c r="X4" s="3125"/>
      <c r="Y4" s="3167">
        <v>0.63541666666666663</v>
      </c>
      <c r="Z4" s="3168"/>
      <c r="AA4" s="3168"/>
      <c r="AB4" s="3169"/>
      <c r="AC4" s="3123" t="s">
        <v>929</v>
      </c>
      <c r="AD4" s="3124"/>
      <c r="AE4" s="3124"/>
      <c r="AF4" s="3125"/>
      <c r="AG4" s="3216" t="s">
        <v>38</v>
      </c>
    </row>
    <row r="5" spans="1:38" s="61" customFormat="1" ht="46.5" customHeight="1">
      <c r="A5" s="3273"/>
      <c r="B5" s="3154"/>
      <c r="C5" s="3155"/>
      <c r="D5" s="3155"/>
      <c r="E5" s="3156"/>
      <c r="F5" s="3150"/>
      <c r="G5" s="3181"/>
      <c r="H5" s="3186"/>
      <c r="I5" s="2189" t="s">
        <v>128</v>
      </c>
      <c r="J5" s="3173" t="s">
        <v>1</v>
      </c>
      <c r="K5" s="3174"/>
      <c r="L5" s="3175"/>
      <c r="M5" s="906" t="s">
        <v>930</v>
      </c>
      <c r="N5" s="3126" t="s">
        <v>1</v>
      </c>
      <c r="O5" s="3126"/>
      <c r="P5" s="3127"/>
      <c r="Q5" s="948" t="s">
        <v>128</v>
      </c>
      <c r="R5" s="3173" t="s">
        <v>1</v>
      </c>
      <c r="S5" s="3174"/>
      <c r="T5" s="3175"/>
      <c r="U5" s="906" t="s">
        <v>128</v>
      </c>
      <c r="V5" s="3126" t="s">
        <v>1</v>
      </c>
      <c r="W5" s="3126"/>
      <c r="X5" s="3127"/>
      <c r="Y5" s="948" t="s">
        <v>128</v>
      </c>
      <c r="Z5" s="3173" t="s">
        <v>1</v>
      </c>
      <c r="AA5" s="3174"/>
      <c r="AB5" s="3175"/>
      <c r="AC5" s="906" t="s">
        <v>128</v>
      </c>
      <c r="AD5" s="3126" t="s">
        <v>1</v>
      </c>
      <c r="AE5" s="3126"/>
      <c r="AF5" s="3127"/>
      <c r="AG5" s="3217"/>
    </row>
    <row r="6" spans="1:38" ht="54" customHeight="1">
      <c r="A6" s="3249">
        <v>1</v>
      </c>
      <c r="B6" s="3251" t="s">
        <v>940</v>
      </c>
      <c r="C6" s="3252"/>
      <c r="D6" s="3164" t="s">
        <v>229</v>
      </c>
      <c r="E6" s="3165"/>
      <c r="F6" s="2885" t="s">
        <v>4</v>
      </c>
      <c r="G6" s="897" t="str">
        <f>'[6]XM.FILE GOC'!$E$78</f>
        <v>40~60</v>
      </c>
      <c r="H6" s="2202" t="str">
        <f>'XM.FILE GOC'!$F$78</f>
        <v>(50±5)</v>
      </c>
      <c r="I6" s="2211">
        <f>'XM.FILE GOC'!I78</f>
        <v>48.026000000000003</v>
      </c>
      <c r="J6" s="969" t="s">
        <v>8</v>
      </c>
      <c r="K6" s="970">
        <f>'XM.FILE GOC'!L78</f>
        <v>30.630557999999947</v>
      </c>
      <c r="L6" s="971" t="s">
        <v>9</v>
      </c>
      <c r="M6" s="1573">
        <f>'3.XT-C KH'!M6</f>
        <v>50</v>
      </c>
      <c r="N6" s="908" t="s">
        <v>8</v>
      </c>
      <c r="O6" s="1588">
        <f>IF(M6=0,"",('XM.FILE GOC'!$G$78-M6)*15517/1000)</f>
        <v>0</v>
      </c>
      <c r="P6" s="909" t="s">
        <v>9</v>
      </c>
      <c r="Q6" s="53">
        <f>'XM.FILE GOC'!P78</f>
        <v>50.9465</v>
      </c>
      <c r="R6" s="969" t="s">
        <v>8</v>
      </c>
      <c r="S6" s="970">
        <f>'XM.FILE GOC'!S78</f>
        <v>0</v>
      </c>
      <c r="T6" s="971" t="s">
        <v>9</v>
      </c>
      <c r="U6" s="1573">
        <f>'3.XT-C KH'!U6</f>
        <v>0</v>
      </c>
      <c r="V6" s="908" t="s">
        <v>8</v>
      </c>
      <c r="W6" s="1588" t="str">
        <f>IF(U6=0,"",('XM.FILE GOC'!$G$78-U6)*15517/1000)</f>
        <v/>
      </c>
      <c r="X6" s="909" t="s">
        <v>9</v>
      </c>
      <c r="Y6" s="53">
        <f>'XM.FILE GOC'!W78</f>
        <v>51.271000000000001</v>
      </c>
      <c r="Z6" s="969" t="s">
        <v>8</v>
      </c>
      <c r="AA6" s="970">
        <f>'XM.FILE GOC'!Z78</f>
        <v>0</v>
      </c>
      <c r="AB6" s="971" t="s">
        <v>9</v>
      </c>
      <c r="AC6" s="1573">
        <f>'3.XT-C KH'!AC6</f>
        <v>0</v>
      </c>
      <c r="AD6" s="908" t="s">
        <v>8</v>
      </c>
      <c r="AE6" s="1588" t="str">
        <f>IF(AC6=0,"",('XM.FILE GOC'!$G$78-AC6)*15517/1000)</f>
        <v/>
      </c>
      <c r="AF6" s="909" t="s">
        <v>9</v>
      </c>
      <c r="AG6" s="2042" t="s">
        <v>39</v>
      </c>
    </row>
    <row r="7" spans="1:38" ht="54" customHeight="1">
      <c r="A7" s="3250"/>
      <c r="B7" s="3253"/>
      <c r="C7" s="3254"/>
      <c r="D7" s="3164" t="s">
        <v>230</v>
      </c>
      <c r="E7" s="3165"/>
      <c r="F7" s="896"/>
      <c r="G7" s="897" t="s">
        <v>1479</v>
      </c>
      <c r="H7" s="2202"/>
      <c r="I7" s="2212"/>
      <c r="J7" s="58"/>
      <c r="K7" s="952">
        <f>K6/25*8.5</f>
        <v>10.414389719999981</v>
      </c>
      <c r="L7" s="587" t="s">
        <v>10</v>
      </c>
      <c r="M7" s="1573">
        <f>'3.XT-C KH'!M7</f>
        <v>0</v>
      </c>
      <c r="N7" s="910" t="s">
        <v>8</v>
      </c>
      <c r="O7" s="1586">
        <f>IF(M6=0,"",O6/25*8.5)</f>
        <v>0</v>
      </c>
      <c r="P7" s="911" t="s">
        <v>10</v>
      </c>
      <c r="Q7" s="296"/>
      <c r="R7" s="58"/>
      <c r="S7" s="952">
        <f>S6/25*8.5</f>
        <v>0</v>
      </c>
      <c r="T7" s="587" t="s">
        <v>10</v>
      </c>
      <c r="U7" s="1573">
        <f>'3.XT-C KH'!U7</f>
        <v>0</v>
      </c>
      <c r="V7" s="910" t="s">
        <v>8</v>
      </c>
      <c r="W7" s="1586" t="str">
        <f>IF(U6=0,"",W6/25*8.5)</f>
        <v/>
      </c>
      <c r="X7" s="911" t="s">
        <v>10</v>
      </c>
      <c r="Y7" s="296"/>
      <c r="Z7" s="58"/>
      <c r="AA7" s="952">
        <f>AA6/25*8.5</f>
        <v>0</v>
      </c>
      <c r="AB7" s="587" t="s">
        <v>10</v>
      </c>
      <c r="AC7" s="1573">
        <f>'3.XT-C KH'!AC7</f>
        <v>0</v>
      </c>
      <c r="AD7" s="910" t="s">
        <v>8</v>
      </c>
      <c r="AE7" s="1586" t="str">
        <f>IF(AC6=0,"",AE6/25*8.5)</f>
        <v/>
      </c>
      <c r="AF7" s="911" t="s">
        <v>10</v>
      </c>
      <c r="AG7" s="2042"/>
    </row>
    <row r="8" spans="1:38" ht="54" customHeight="1">
      <c r="A8" s="3249">
        <v>2</v>
      </c>
      <c r="B8" s="3251" t="s">
        <v>941</v>
      </c>
      <c r="C8" s="3252"/>
      <c r="D8" s="3164" t="s">
        <v>229</v>
      </c>
      <c r="E8" s="3165"/>
      <c r="F8" s="2885" t="s">
        <v>4</v>
      </c>
      <c r="G8" s="897" t="str">
        <f>'[6]XM.FILE GOC'!$E$80</f>
        <v>40~60</v>
      </c>
      <c r="H8" s="2202" t="str">
        <f>'XM.FILE GOC'!$F$80</f>
        <v>(50±5)</v>
      </c>
      <c r="I8" s="2211">
        <f>'XM.FILE GOC'!I80</f>
        <v>49.648500000000006</v>
      </c>
      <c r="J8" s="969" t="s">
        <v>8</v>
      </c>
      <c r="K8" s="970">
        <f>'XM.FILE GOC'!L80</f>
        <v>4.0334624999999358</v>
      </c>
      <c r="L8" s="971" t="s">
        <v>9</v>
      </c>
      <c r="M8" s="1573">
        <f>'3.XT-C KH'!M8</f>
        <v>50.3</v>
      </c>
      <c r="N8" s="908" t="s">
        <v>8</v>
      </c>
      <c r="O8" s="1588">
        <f>IF(M8=0,"",('XM.FILE GOC'!$G$80-M8)*11475/1000)</f>
        <v>-3.4424999999999675</v>
      </c>
      <c r="P8" s="909" t="s">
        <v>9</v>
      </c>
      <c r="Q8" s="53">
        <f>'XM.FILE GOC'!P80</f>
        <v>50.297499999999999</v>
      </c>
      <c r="R8" s="969" t="s">
        <v>8</v>
      </c>
      <c r="S8" s="970">
        <f>'XM.FILE GOC'!S80</f>
        <v>0</v>
      </c>
      <c r="T8" s="971" t="s">
        <v>9</v>
      </c>
      <c r="U8" s="1573">
        <f>'3.XT-C KH'!U8</f>
        <v>0</v>
      </c>
      <c r="V8" s="908" t="s">
        <v>8</v>
      </c>
      <c r="W8" s="1588" t="str">
        <f>IF(U8=0,"",('XM.FILE GOC'!$G$80-U8)*11475/1000)</f>
        <v/>
      </c>
      <c r="X8" s="909" t="s">
        <v>9</v>
      </c>
      <c r="Y8" s="53">
        <f>'XM.FILE GOC'!W80</f>
        <v>50.297499999999999</v>
      </c>
      <c r="Z8" s="969" t="s">
        <v>8</v>
      </c>
      <c r="AA8" s="970">
        <f>'XM.FILE GOC'!Z80</f>
        <v>0</v>
      </c>
      <c r="AB8" s="971" t="s">
        <v>9</v>
      </c>
      <c r="AC8" s="1573">
        <f>'3.XT-C KH'!AC8</f>
        <v>0</v>
      </c>
      <c r="AD8" s="908" t="s">
        <v>8</v>
      </c>
      <c r="AE8" s="1588" t="str">
        <f>IF(AC8=0,"",('XM.FILE GOC'!$G$80-AC8)*11475/1000)</f>
        <v/>
      </c>
      <c r="AF8" s="909" t="s">
        <v>9</v>
      </c>
      <c r="AG8" s="2042" t="s">
        <v>39</v>
      </c>
    </row>
    <row r="9" spans="1:38" ht="54" customHeight="1">
      <c r="A9" s="3250"/>
      <c r="B9" s="3253"/>
      <c r="C9" s="3254"/>
      <c r="D9" s="3164" t="s">
        <v>230</v>
      </c>
      <c r="E9" s="3165"/>
      <c r="F9" s="896"/>
      <c r="G9" s="897" t="s">
        <v>1479</v>
      </c>
      <c r="H9" s="2202"/>
      <c r="I9" s="2212"/>
      <c r="J9" s="58"/>
      <c r="K9" s="952">
        <f>K8/25*8.5</f>
        <v>1.3713772499999783</v>
      </c>
      <c r="L9" s="587" t="s">
        <v>10</v>
      </c>
      <c r="M9" s="1573">
        <f>'3.XT-C KH'!M9</f>
        <v>0</v>
      </c>
      <c r="N9" s="910" t="s">
        <v>8</v>
      </c>
      <c r="O9" s="1586">
        <f>IF(M8=0,"",O8/25*8.5)</f>
        <v>-1.1704499999999891</v>
      </c>
      <c r="P9" s="911" t="s">
        <v>10</v>
      </c>
      <c r="Q9" s="296"/>
      <c r="R9" s="58"/>
      <c r="S9" s="952">
        <f>S8/25*8.5</f>
        <v>0</v>
      </c>
      <c r="T9" s="587" t="s">
        <v>10</v>
      </c>
      <c r="U9" s="1573">
        <f>'3.XT-C KH'!U9</f>
        <v>0</v>
      </c>
      <c r="V9" s="910" t="s">
        <v>8</v>
      </c>
      <c r="W9" s="1586" t="str">
        <f>IF(U8=0,"",W8/25*8.5)</f>
        <v/>
      </c>
      <c r="X9" s="911" t="s">
        <v>10</v>
      </c>
      <c r="Y9" s="296"/>
      <c r="Z9" s="58"/>
      <c r="AA9" s="952">
        <f>AA8/25*8.5</f>
        <v>0</v>
      </c>
      <c r="AB9" s="587" t="s">
        <v>10</v>
      </c>
      <c r="AC9" s="1573">
        <f>'3.XT-C KH'!AC9</f>
        <v>0</v>
      </c>
      <c r="AD9" s="910" t="s">
        <v>8</v>
      </c>
      <c r="AE9" s="1586" t="str">
        <f>IF(AC8=0,"",AE8/25*8.5)</f>
        <v/>
      </c>
      <c r="AF9" s="911" t="s">
        <v>10</v>
      </c>
      <c r="AG9" s="2042"/>
    </row>
    <row r="10" spans="1:38" ht="54" customHeight="1">
      <c r="A10" s="3249">
        <v>3</v>
      </c>
      <c r="B10" s="3162" t="s">
        <v>942</v>
      </c>
      <c r="C10" s="3163"/>
      <c r="D10" s="3256" t="s">
        <v>231</v>
      </c>
      <c r="E10" s="3257" t="s">
        <v>231</v>
      </c>
      <c r="F10" s="2884" t="s">
        <v>4</v>
      </c>
      <c r="G10" s="897" t="str">
        <f>'[6]XM.GUI MAIL'!$E$82</f>
        <v>50~70</v>
      </c>
      <c r="H10" s="2202" t="str">
        <f>'XM.FILE GOC'!$F$82</f>
        <v>(60±5)</v>
      </c>
      <c r="I10" s="2212">
        <f>'XM.FILE GOC'!I82</f>
        <v>61.446000000000005</v>
      </c>
      <c r="J10" s="58" t="s">
        <v>8</v>
      </c>
      <c r="K10" s="586">
        <f>'XM.FILE GOC'!L82</f>
        <v>0</v>
      </c>
      <c r="L10" s="587" t="s">
        <v>9</v>
      </c>
      <c r="M10" s="1573">
        <f>'3.XT-C KH'!M10</f>
        <v>0</v>
      </c>
      <c r="N10" s="908" t="s">
        <v>8</v>
      </c>
      <c r="O10" s="1588" t="str">
        <f>IF(M10=0,"",('XM.FILE GOC'!$G$82-M10)*8200/1000)</f>
        <v/>
      </c>
      <c r="P10" s="909" t="s">
        <v>9</v>
      </c>
      <c r="Q10" s="296">
        <f>'XM.FILE GOC'!P82</f>
        <v>61.908000000000001</v>
      </c>
      <c r="R10" s="58" t="s">
        <v>8</v>
      </c>
      <c r="S10" s="586">
        <f>'XM.FILE GOC'!S82</f>
        <v>0</v>
      </c>
      <c r="T10" s="587" t="s">
        <v>9</v>
      </c>
      <c r="U10" s="1573">
        <f>'3.XT-C KH'!U10</f>
        <v>0</v>
      </c>
      <c r="V10" s="908" t="s">
        <v>8</v>
      </c>
      <c r="W10" s="1588" t="str">
        <f>IF(U10=0,"",('XM.FILE GOC'!$G$82-U10)*8200/1000)</f>
        <v/>
      </c>
      <c r="X10" s="909" t="s">
        <v>9</v>
      </c>
      <c r="Y10" s="296">
        <f>'XM.FILE GOC'!W82</f>
        <v>62.370000000000005</v>
      </c>
      <c r="Z10" s="58" t="s">
        <v>8</v>
      </c>
      <c r="AA10" s="586">
        <f>'XM.FILE GOC'!Z82</f>
        <v>0</v>
      </c>
      <c r="AB10" s="971" t="s">
        <v>9</v>
      </c>
      <c r="AC10" s="1573">
        <f>'3.XT-C KH'!AC10</f>
        <v>0</v>
      </c>
      <c r="AD10" s="908" t="s">
        <v>8</v>
      </c>
      <c r="AE10" s="1588" t="str">
        <f>IF(AC10=0,"",('XM.FILE GOC'!$G$82-AC10)*8200/1000)</f>
        <v/>
      </c>
      <c r="AF10" s="909" t="s">
        <v>9</v>
      </c>
      <c r="AG10" s="2042" t="s">
        <v>39</v>
      </c>
    </row>
    <row r="11" spans="1:38" ht="54" customHeight="1">
      <c r="A11" s="3255"/>
      <c r="B11" s="3163"/>
      <c r="C11" s="3163"/>
      <c r="D11" s="3256" t="s">
        <v>232</v>
      </c>
      <c r="E11" s="3257" t="s">
        <v>232</v>
      </c>
      <c r="F11" s="1004"/>
      <c r="G11" s="897" t="s">
        <v>1261</v>
      </c>
      <c r="H11" s="2202"/>
      <c r="I11" s="2212"/>
      <c r="J11" s="58"/>
      <c r="K11" s="952">
        <f>K10/25*8</f>
        <v>0</v>
      </c>
      <c r="L11" s="587" t="s">
        <v>10</v>
      </c>
      <c r="M11" s="1573">
        <f>'3.XT-C KH'!M11</f>
        <v>0</v>
      </c>
      <c r="N11" s="910" t="s">
        <v>8</v>
      </c>
      <c r="O11" s="1586" t="str">
        <f>IF(M10=0,"",O10/25*8)</f>
        <v/>
      </c>
      <c r="P11" s="911" t="s">
        <v>10</v>
      </c>
      <c r="Q11" s="296"/>
      <c r="R11" s="58"/>
      <c r="S11" s="952">
        <f>S10/25*8</f>
        <v>0</v>
      </c>
      <c r="T11" s="587" t="s">
        <v>10</v>
      </c>
      <c r="U11" s="1573">
        <f>'3.XT-C KH'!U11</f>
        <v>0</v>
      </c>
      <c r="V11" s="910" t="s">
        <v>8</v>
      </c>
      <c r="W11" s="1586" t="str">
        <f>IF(U10=0,"",W10/25*8)</f>
        <v/>
      </c>
      <c r="X11" s="911" t="s">
        <v>10</v>
      </c>
      <c r="Y11" s="296"/>
      <c r="Z11" s="58"/>
      <c r="AA11" s="952">
        <f>AA10/25*8</f>
        <v>0</v>
      </c>
      <c r="AB11" s="587" t="s">
        <v>10</v>
      </c>
      <c r="AC11" s="1573">
        <f>'3.XT-C KH'!AC11</f>
        <v>0</v>
      </c>
      <c r="AD11" s="910" t="s">
        <v>8</v>
      </c>
      <c r="AE11" s="1586" t="str">
        <f>IF(AC10=0,"",AE10/25*8)</f>
        <v/>
      </c>
      <c r="AF11" s="911" t="s">
        <v>10</v>
      </c>
      <c r="AG11" s="2042"/>
    </row>
    <row r="12" spans="1:38" ht="54" customHeight="1">
      <c r="A12" s="3249">
        <v>4</v>
      </c>
      <c r="B12" s="3162" t="s">
        <v>943</v>
      </c>
      <c r="C12" s="3163"/>
      <c r="D12" s="3256" t="s">
        <v>231</v>
      </c>
      <c r="E12" s="3257" t="s">
        <v>231</v>
      </c>
      <c r="F12" s="2884" t="s">
        <v>4</v>
      </c>
      <c r="G12" s="897" t="str">
        <f>'[6]XM.GUI MAIL'!$E$84</f>
        <v>50~70</v>
      </c>
      <c r="H12" s="2202" t="str">
        <f>'XM.FILE GOC'!$F$84</f>
        <v>(60±5)</v>
      </c>
      <c r="I12" s="2212">
        <f>'XM.FILE GOC'!I84</f>
        <v>59.598000000000006</v>
      </c>
      <c r="J12" s="969" t="s">
        <v>8</v>
      </c>
      <c r="K12" s="970">
        <f>'XM.FILE GOC'!L84</f>
        <v>3.4845359999999475</v>
      </c>
      <c r="L12" s="971" t="s">
        <v>9</v>
      </c>
      <c r="M12" s="1573">
        <f>'3.XT-C KH'!M12</f>
        <v>60.3</v>
      </c>
      <c r="N12" s="908" t="s">
        <v>8</v>
      </c>
      <c r="O12" s="1589">
        <f>IF(M12=0,"",('XM.FILE GOC'!$G$84-M12)*8668/1000)</f>
        <v>-2.6003999999999756</v>
      </c>
      <c r="P12" s="909" t="s">
        <v>9</v>
      </c>
      <c r="Q12" s="296">
        <f>'XM.FILE GOC'!P84</f>
        <v>60.753</v>
      </c>
      <c r="R12" s="969" t="s">
        <v>8</v>
      </c>
      <c r="S12" s="970">
        <f>'XM.FILE GOC'!S84</f>
        <v>0</v>
      </c>
      <c r="T12" s="971" t="s">
        <v>9</v>
      </c>
      <c r="U12" s="1573">
        <f>'3.XT-C KH'!U12</f>
        <v>0</v>
      </c>
      <c r="V12" s="908" t="s">
        <v>8</v>
      </c>
      <c r="W12" s="1589" t="str">
        <f>IF(U12=0,"",('XM.FILE GOC'!$G$84-U12)*8668/1000)</f>
        <v/>
      </c>
      <c r="X12" s="909" t="s">
        <v>9</v>
      </c>
      <c r="Y12" s="296">
        <f>'XM.FILE GOC'!W84</f>
        <v>61.215000000000003</v>
      </c>
      <c r="Z12" s="969" t="s">
        <v>8</v>
      </c>
      <c r="AA12" s="970">
        <f>'XM.FILE GOC'!Z84</f>
        <v>0</v>
      </c>
      <c r="AB12" s="971" t="s">
        <v>9</v>
      </c>
      <c r="AC12" s="1573">
        <f>'3.XT-C KH'!AC12</f>
        <v>0</v>
      </c>
      <c r="AD12" s="908" t="s">
        <v>8</v>
      </c>
      <c r="AE12" s="1589" t="str">
        <f>IF(AC12=0,"",('XM.FILE GOC'!$G$84-AC12)*8668/1000)</f>
        <v/>
      </c>
      <c r="AF12" s="909" t="s">
        <v>9</v>
      </c>
      <c r="AG12" s="2042" t="s">
        <v>39</v>
      </c>
    </row>
    <row r="13" spans="1:38" ht="54" customHeight="1">
      <c r="A13" s="3250"/>
      <c r="B13" s="3267"/>
      <c r="C13" s="3267"/>
      <c r="D13" s="3256" t="s">
        <v>232</v>
      </c>
      <c r="E13" s="3257" t="s">
        <v>232</v>
      </c>
      <c r="F13" s="1004"/>
      <c r="G13" s="897" t="s">
        <v>1261</v>
      </c>
      <c r="H13" s="2216"/>
      <c r="I13" s="2213"/>
      <c r="J13" s="1314"/>
      <c r="K13" s="2101">
        <f>K12/25*8</f>
        <v>1.1150515199999831</v>
      </c>
      <c r="L13" s="1316" t="s">
        <v>10</v>
      </c>
      <c r="M13" s="2102">
        <f>'3.XT-C KH'!M13</f>
        <v>0</v>
      </c>
      <c r="N13" s="2103" t="s">
        <v>8</v>
      </c>
      <c r="O13" s="2104">
        <f>IF(M12=0,"",O12/25*8)</f>
        <v>-0.83212799999999221</v>
      </c>
      <c r="P13" s="2105" t="s">
        <v>10</v>
      </c>
      <c r="Q13" s="2100"/>
      <c r="R13" s="1314"/>
      <c r="S13" s="2101">
        <f>S12/25*8</f>
        <v>0</v>
      </c>
      <c r="T13" s="1316" t="s">
        <v>10</v>
      </c>
      <c r="U13" s="2102">
        <f>'3.XT-C KH'!U13</f>
        <v>0</v>
      </c>
      <c r="V13" s="2103" t="s">
        <v>8</v>
      </c>
      <c r="W13" s="2104" t="str">
        <f>IF(U12=0,"",W12/25*8)</f>
        <v/>
      </c>
      <c r="X13" s="2105" t="s">
        <v>10</v>
      </c>
      <c r="Y13" s="2100"/>
      <c r="Z13" s="1314"/>
      <c r="AA13" s="2101">
        <f>AA12/25*8</f>
        <v>0</v>
      </c>
      <c r="AB13" s="1316" t="s">
        <v>10</v>
      </c>
      <c r="AC13" s="2102">
        <f>'3.XT-C KH'!AC13</f>
        <v>0</v>
      </c>
      <c r="AD13" s="2103" t="s">
        <v>8</v>
      </c>
      <c r="AE13" s="2104" t="str">
        <f>IF(AC12=0,"",AE12/25*8)</f>
        <v/>
      </c>
      <c r="AF13" s="2105" t="s">
        <v>10</v>
      </c>
      <c r="AG13" s="2098"/>
    </row>
    <row r="14" spans="1:38" ht="54" customHeight="1">
      <c r="A14" s="3314">
        <v>5</v>
      </c>
      <c r="B14" s="3316" t="s">
        <v>121</v>
      </c>
      <c r="C14" s="3316"/>
      <c r="D14" s="3316" t="s">
        <v>115</v>
      </c>
      <c r="E14" s="3316"/>
      <c r="F14" s="2317" t="s">
        <v>4</v>
      </c>
      <c r="G14" s="2318" t="str">
        <f>'XM.GUI MAIL'!$E$99</f>
        <v>5~6</v>
      </c>
      <c r="H14" s="2319" t="str">
        <f>'XM.GUI MAIL'!$F$99</f>
        <v>(5.5± 0.5)</v>
      </c>
      <c r="I14" s="2285">
        <f>'XM.FILE GOC'!I99</f>
        <v>0</v>
      </c>
      <c r="J14" s="2286" t="s">
        <v>8</v>
      </c>
      <c r="K14" s="2287">
        <f>'XM.FILE GOC'!L99</f>
        <v>44</v>
      </c>
      <c r="L14" s="2288" t="s">
        <v>9</v>
      </c>
      <c r="M14" s="2289">
        <f>'3.XT-C KH'!AU6</f>
        <v>0</v>
      </c>
      <c r="N14" s="2320" t="s">
        <v>8</v>
      </c>
      <c r="O14" s="2321" t="str">
        <f>IF(M14=0,"",('XM.FILE GOC'!$G$99-M14)*8000/1000)</f>
        <v/>
      </c>
      <c r="P14" s="2322" t="s">
        <v>9</v>
      </c>
      <c r="Q14" s="2293">
        <f>'XM.FILE GOC'!P99</f>
        <v>0</v>
      </c>
      <c r="R14" s="2286" t="s">
        <v>8</v>
      </c>
      <c r="S14" s="2287">
        <f>'XM.FILE GOC'!S99</f>
        <v>44</v>
      </c>
      <c r="T14" s="2288" t="s">
        <v>9</v>
      </c>
      <c r="U14" s="2289">
        <f>'3.XT-C KH'!BC6</f>
        <v>0</v>
      </c>
      <c r="V14" s="2320" t="s">
        <v>8</v>
      </c>
      <c r="W14" s="2321" t="str">
        <f>IF(U14=0,"",('XM.FILE GOC'!$G$99-U14)*8000/1000)</f>
        <v/>
      </c>
      <c r="X14" s="2322" t="s">
        <v>9</v>
      </c>
      <c r="Y14" s="2293">
        <f>'XM.FILE GOC'!W99</f>
        <v>0</v>
      </c>
      <c r="Z14" s="2286" t="s">
        <v>8</v>
      </c>
      <c r="AA14" s="2287">
        <f>'XM.FILE GOC'!Z99</f>
        <v>44</v>
      </c>
      <c r="AB14" s="2288" t="s">
        <v>9</v>
      </c>
      <c r="AC14" s="2289">
        <f>'3.XT-C KH'!BK6</f>
        <v>0</v>
      </c>
      <c r="AD14" s="2320" t="s">
        <v>8</v>
      </c>
      <c r="AE14" s="2321" t="str">
        <f>IF(AC14=0,"",('XM.FILE GOC'!$G$99-AC14)*8000/1000)</f>
        <v/>
      </c>
      <c r="AF14" s="2322" t="s">
        <v>9</v>
      </c>
      <c r="AG14" s="2294" t="s">
        <v>40</v>
      </c>
    </row>
    <row r="15" spans="1:38" ht="54" customHeight="1">
      <c r="A15" s="3315"/>
      <c r="B15" s="3303"/>
      <c r="C15" s="3303"/>
      <c r="D15" s="3303" t="s">
        <v>99</v>
      </c>
      <c r="E15" s="3303"/>
      <c r="F15" s="2049" t="s">
        <v>4</v>
      </c>
      <c r="G15" s="2048" t="str">
        <f>'XM.GUI MAIL'!$E$100</f>
        <v>130~140</v>
      </c>
      <c r="H15" s="2217" t="str">
        <f>'XM.GUI MAIL'!$F$100</f>
        <v>(135 ± 5)</v>
      </c>
      <c r="I15" s="2214">
        <f>'XM.FILE GOC'!I100</f>
        <v>0</v>
      </c>
      <c r="J15" s="969" t="s">
        <v>8</v>
      </c>
      <c r="K15" s="970">
        <f>'XM.FILE GOC'!L100</f>
        <v>1080</v>
      </c>
      <c r="L15" s="971" t="s">
        <v>9</v>
      </c>
      <c r="M15" s="2102">
        <f>'3.XT-C KH'!AU7</f>
        <v>0</v>
      </c>
      <c r="N15" s="908" t="s">
        <v>8</v>
      </c>
      <c r="O15" s="1589" t="str">
        <f>IF(M15=0,"",('XM.FILE GOC'!$G$100-M15)*8000/1000)</f>
        <v/>
      </c>
      <c r="P15" s="909" t="s">
        <v>9</v>
      </c>
      <c r="Q15" s="1775">
        <f>'XM.FILE GOC'!P100</f>
        <v>0</v>
      </c>
      <c r="R15" s="969" t="s">
        <v>8</v>
      </c>
      <c r="S15" s="970">
        <f>'XM.FILE GOC'!S100</f>
        <v>1080</v>
      </c>
      <c r="T15" s="971" t="s">
        <v>9</v>
      </c>
      <c r="U15" s="2102">
        <f>'3.XT-C KH'!BC7</f>
        <v>0</v>
      </c>
      <c r="V15" s="908" t="s">
        <v>8</v>
      </c>
      <c r="W15" s="1589" t="str">
        <f>IF(U15=0,"",('XM.FILE GOC'!$G$100-U15)*8000/1000)</f>
        <v/>
      </c>
      <c r="X15" s="909" t="s">
        <v>9</v>
      </c>
      <c r="Y15" s="1775">
        <f>'XM.FILE GOC'!W100</f>
        <v>0</v>
      </c>
      <c r="Z15" s="969" t="s">
        <v>8</v>
      </c>
      <c r="AA15" s="970">
        <f>'XM.FILE GOC'!Z100</f>
        <v>1080</v>
      </c>
      <c r="AB15" s="909" t="s">
        <v>9</v>
      </c>
      <c r="AC15" s="2102">
        <f>'3.XT-C KH'!BK7</f>
        <v>0</v>
      </c>
      <c r="AD15" s="908" t="s">
        <v>8</v>
      </c>
      <c r="AE15" s="1589" t="str">
        <f>IF(AC15=0,"",('XM.FILE GOC'!$G$100-AC15)*8000/1000)</f>
        <v/>
      </c>
      <c r="AF15" s="909" t="s">
        <v>9</v>
      </c>
      <c r="AG15" s="2323" t="s">
        <v>41</v>
      </c>
    </row>
    <row r="16" spans="1:38" s="7" customFormat="1" ht="54" customHeight="1">
      <c r="A16" s="2815">
        <v>6</v>
      </c>
      <c r="B16" s="3304" t="s">
        <v>122</v>
      </c>
      <c r="C16" s="3304"/>
      <c r="D16" s="3304"/>
      <c r="E16" s="3304"/>
      <c r="F16" s="2324" t="s">
        <v>5</v>
      </c>
      <c r="G16" s="2325" t="str">
        <f>'XM.GUI MAIL'!$E$101</f>
        <v>3.0-4.5</v>
      </c>
      <c r="H16" s="2326" t="str">
        <f>'XM.GUI MAIL'!$F$101</f>
        <v>(4.3±0.2)</v>
      </c>
      <c r="I16" s="2298">
        <f>'XM.FILE GOC'!I101</f>
        <v>0</v>
      </c>
      <c r="J16" s="2307"/>
      <c r="K16" s="2308"/>
      <c r="L16" s="2309"/>
      <c r="M16" s="1573"/>
      <c r="N16" s="910"/>
      <c r="O16" s="1588"/>
      <c r="P16" s="911"/>
      <c r="Q16" s="594">
        <f>'XM.FILE GOC'!P101</f>
        <v>0</v>
      </c>
      <c r="R16" s="969"/>
      <c r="S16" s="2804"/>
      <c r="T16" s="2799"/>
      <c r="U16" s="1573"/>
      <c r="V16" s="910"/>
      <c r="W16" s="1588"/>
      <c r="X16" s="911"/>
      <c r="Y16" s="594">
        <f>'XM.FILE GOC'!W101</f>
        <v>0</v>
      </c>
      <c r="Z16" s="969"/>
      <c r="AA16" s="2804"/>
      <c r="AB16" s="2799"/>
      <c r="AC16" s="1573"/>
      <c r="AD16" s="910"/>
      <c r="AE16" s="1588"/>
      <c r="AF16" s="911"/>
      <c r="AG16" s="2327" t="s">
        <v>42</v>
      </c>
      <c r="AH16" s="8"/>
      <c r="AI16" s="8"/>
      <c r="AJ16" s="8"/>
      <c r="AK16" s="8"/>
      <c r="AL16" s="8"/>
    </row>
    <row r="17" spans="1:38" s="7" customFormat="1" ht="54" customHeight="1">
      <c r="A17" s="2816">
        <v>7</v>
      </c>
      <c r="B17" s="3331" t="s">
        <v>1632</v>
      </c>
      <c r="C17" s="3331"/>
      <c r="D17" s="3331"/>
      <c r="E17" s="3331"/>
      <c r="F17" s="2324" t="s">
        <v>54</v>
      </c>
      <c r="G17" s="2325">
        <f>'XM.GUI MAIL'!$E$102</f>
        <v>0</v>
      </c>
      <c r="H17" s="2326">
        <f>'XM.GUI MAIL'!$F$102</f>
        <v>0</v>
      </c>
      <c r="I17" s="2822">
        <f>'XM.FILE GOC'!I102</f>
        <v>0</v>
      </c>
      <c r="J17" s="2307" t="s">
        <v>8</v>
      </c>
      <c r="K17" s="2308">
        <f>'XM.FILE GOC'!L102</f>
        <v>201.6</v>
      </c>
      <c r="L17" s="2309" t="s">
        <v>9</v>
      </c>
      <c r="M17" s="2818">
        <f>'3.XT-C KH'!AU9</f>
        <v>0</v>
      </c>
      <c r="N17" s="2819" t="s">
        <v>8</v>
      </c>
      <c r="O17" s="2820" t="str">
        <f>IF(M17=0,"",('XM.FILE GOC'!$G$102-M17)*3360/1000)</f>
        <v/>
      </c>
      <c r="P17" s="2823" t="s">
        <v>9</v>
      </c>
      <c r="Q17" s="2831">
        <f>'XM.FILE GOC'!P102</f>
        <v>0</v>
      </c>
      <c r="R17" s="2832" t="s">
        <v>8</v>
      </c>
      <c r="S17" s="2833">
        <f>'XM.FILE GOC'!S102</f>
        <v>201.6</v>
      </c>
      <c r="T17" s="2834" t="s">
        <v>9</v>
      </c>
      <c r="U17" s="2835">
        <f>'3.XT-C KH'!BC9</f>
        <v>0</v>
      </c>
      <c r="V17" s="2836" t="s">
        <v>8</v>
      </c>
      <c r="W17" s="2837" t="str">
        <f>IF(U17=0,"",('XM.FILE GOC'!$G$102-U17)*3360/1000)</f>
        <v/>
      </c>
      <c r="X17" s="2838" t="s">
        <v>9</v>
      </c>
      <c r="Y17" s="2831">
        <f>'XM.FILE GOC'!W102</f>
        <v>0</v>
      </c>
      <c r="Z17" s="2832" t="s">
        <v>8</v>
      </c>
      <c r="AA17" s="2833">
        <f>'XM.FILE GOC'!Z102</f>
        <v>201.6</v>
      </c>
      <c r="AB17" s="2838" t="s">
        <v>9</v>
      </c>
      <c r="AC17" s="2835">
        <f>'3.XT-C KH'!BK9</f>
        <v>0</v>
      </c>
      <c r="AD17" s="2836" t="s">
        <v>8</v>
      </c>
      <c r="AE17" s="2837" t="str">
        <f>IF(AC17=0,"",('XM.FILE GOC'!$G$102-AC17)*3360/1000)</f>
        <v/>
      </c>
      <c r="AF17" s="2838" t="s">
        <v>9</v>
      </c>
      <c r="AG17" s="2327"/>
      <c r="AH17" s="8"/>
      <c r="AI17" s="8"/>
      <c r="AJ17" s="8"/>
      <c r="AK17" s="8"/>
      <c r="AL17" s="8"/>
    </row>
    <row r="18" spans="1:38" ht="51" customHeight="1">
      <c r="A18" s="1583">
        <v>8</v>
      </c>
      <c r="B18" s="3317" t="s">
        <v>81</v>
      </c>
      <c r="C18" s="3318"/>
      <c r="D18" s="3318"/>
      <c r="E18" s="3319"/>
      <c r="F18" s="2811" t="s">
        <v>6</v>
      </c>
      <c r="G18" s="1579" t="str">
        <f>'XM.FILE GOC'!$E$90</f>
        <v>40~50</v>
      </c>
      <c r="H18" s="2218" t="str">
        <f>'XM.FILE GOC'!$F$90</f>
        <v>(45±5)</v>
      </c>
      <c r="I18" s="2812">
        <f>'XM.FILE GOC'!I90</f>
        <v>0.44500000000000001</v>
      </c>
      <c r="J18" s="2106" t="s">
        <v>8</v>
      </c>
      <c r="K18" s="2107">
        <f>'XM.FILE GOC'!L90</f>
        <v>16.170000000000016</v>
      </c>
      <c r="L18" s="2108" t="s">
        <v>10</v>
      </c>
      <c r="M18" s="2813">
        <f>IF(I18&gt;44.99%,"",'3.XT-C KH'!M18)</f>
        <v>0.45500000000000002</v>
      </c>
      <c r="N18" s="2280" t="s">
        <v>8</v>
      </c>
      <c r="O18" s="2814">
        <f>IF(M18="","",('XM.FILE GOC'!$G$90-M18)*3234)</f>
        <v>-16.170000000000016</v>
      </c>
      <c r="P18" s="2281" t="s">
        <v>10</v>
      </c>
      <c r="Q18" s="2812">
        <f>'XM.FILE GOC'!P90</f>
        <v>0.45624999999999999</v>
      </c>
      <c r="R18" s="2106" t="s">
        <v>8</v>
      </c>
      <c r="S18" s="2107">
        <f>'XM.FILE GOC'!S90</f>
        <v>0</v>
      </c>
      <c r="T18" s="2108" t="s">
        <v>10</v>
      </c>
      <c r="U18" s="2813" t="str">
        <f>IF(Q18&gt;44.99%,"",'3.XT-C KH'!U18)</f>
        <v/>
      </c>
      <c r="V18" s="2280" t="s">
        <v>8</v>
      </c>
      <c r="W18" s="2814" t="str">
        <f>IF(U18="","",('XM.FILE GOC'!$G$90-U18)*3234)</f>
        <v/>
      </c>
      <c r="X18" s="2281" t="s">
        <v>10</v>
      </c>
      <c r="Y18" s="2812">
        <f>'XM.FILE GOC'!W90</f>
        <v>0.49274999999999997</v>
      </c>
      <c r="Z18" s="2106" t="s">
        <v>8</v>
      </c>
      <c r="AA18" s="2107">
        <f>'XM.FILE GOC'!Z90</f>
        <v>0</v>
      </c>
      <c r="AB18" s="2108" t="s">
        <v>10</v>
      </c>
      <c r="AC18" s="2813" t="str">
        <f>IF(Y18&gt;44.99%,"",'3.XT-C KH'!AC18)</f>
        <v/>
      </c>
      <c r="AD18" s="2280" t="s">
        <v>8</v>
      </c>
      <c r="AE18" s="2814" t="str">
        <f>IF(AC18="","",('XM.FILE GOC'!$G$90-AC18)*3234)</f>
        <v/>
      </c>
      <c r="AF18" s="2281" t="s">
        <v>10</v>
      </c>
      <c r="AG18" s="2809" t="s">
        <v>44</v>
      </c>
    </row>
    <row r="19" spans="1:38" ht="51" customHeight="1">
      <c r="A19" s="2043">
        <v>9</v>
      </c>
      <c r="B19" s="3239" t="s">
        <v>1583</v>
      </c>
      <c r="C19" s="3240"/>
      <c r="D19" s="3240"/>
      <c r="E19" s="3241"/>
      <c r="F19" s="632" t="s">
        <v>6</v>
      </c>
      <c r="G19" s="897" t="str">
        <f>'XM.FILE GOC'!$E$91</f>
        <v>10~20</v>
      </c>
      <c r="H19" s="2202" t="str">
        <f>'XM.FILE GOC'!$F$91</f>
        <v>(15±5)</v>
      </c>
      <c r="I19" s="2714">
        <f>'XM.FILE GOC'!I91</f>
        <v>0.156</v>
      </c>
      <c r="J19" s="969" t="s">
        <v>8</v>
      </c>
      <c r="K19" s="970">
        <f>'XM.FILE GOC'!L91</f>
        <v>0</v>
      </c>
      <c r="L19" s="971" t="s">
        <v>10</v>
      </c>
      <c r="M19" s="914" t="str">
        <f>IF(I19&gt;7.99%,"",'3.XT-C KH'!M19)</f>
        <v/>
      </c>
      <c r="N19" s="908" t="s">
        <v>8</v>
      </c>
      <c r="O19" s="1588" t="str">
        <f>IF(M19="","",('XM.FILE GOC'!$G$91-M19)*3361)</f>
        <v/>
      </c>
      <c r="P19" s="909" t="s">
        <v>10</v>
      </c>
      <c r="Q19" s="2714">
        <f>'XM.FILE GOC'!P91</f>
        <v>0.152</v>
      </c>
      <c r="R19" s="969" t="s">
        <v>8</v>
      </c>
      <c r="S19" s="970">
        <f>'XM.FILE GOC'!S91</f>
        <v>0</v>
      </c>
      <c r="T19" s="971" t="s">
        <v>10</v>
      </c>
      <c r="U19" s="914" t="str">
        <f>IF(Q19&gt;7.99%,"",'3.XT-C KH'!U19)</f>
        <v/>
      </c>
      <c r="V19" s="908" t="s">
        <v>8</v>
      </c>
      <c r="W19" s="1588" t="str">
        <f>IF(U19="","",('XM.FILE GOC'!$G$91-U19)*3361)</f>
        <v/>
      </c>
      <c r="X19" s="909" t="s">
        <v>10</v>
      </c>
      <c r="Y19" s="2714">
        <f>'XM.FILE GOC'!W91</f>
        <v>0.14599999999999999</v>
      </c>
      <c r="Z19" s="2106" t="s">
        <v>8</v>
      </c>
      <c r="AA19" s="2107">
        <f>'XM.FILE GOC'!Z91</f>
        <v>13.444000000000011</v>
      </c>
      <c r="AB19" s="2108" t="s">
        <v>10</v>
      </c>
      <c r="AC19" s="914" t="str">
        <f>IF(Y19&gt;7.99%,"",'3.XT-C KH'!AC19)</f>
        <v/>
      </c>
      <c r="AD19" s="2280" t="s">
        <v>8</v>
      </c>
      <c r="AE19" s="1588" t="str">
        <f>IF(AC19="","",('XM.FILE GOC'!$G$91-AC19)*3361)</f>
        <v/>
      </c>
      <c r="AF19" s="2281" t="s">
        <v>10</v>
      </c>
      <c r="AG19" s="2099" t="s">
        <v>43</v>
      </c>
    </row>
    <row r="20" spans="1:38" ht="51" customHeight="1">
      <c r="A20" s="2447">
        <v>10</v>
      </c>
      <c r="B20" s="3239" t="s">
        <v>1584</v>
      </c>
      <c r="C20" s="3240"/>
      <c r="D20" s="3240"/>
      <c r="E20" s="3241"/>
      <c r="F20" s="632" t="s">
        <v>6</v>
      </c>
      <c r="G20" s="897" t="str">
        <f>'XM.FILE GOC'!$E$92</f>
        <v>40~50</v>
      </c>
      <c r="H20" s="2202" t="str">
        <f>'XM.FILE GOC'!$F$92</f>
        <v>(45±5)</v>
      </c>
      <c r="I20" s="1747">
        <f>'XM.FILE GOC'!I92</f>
        <v>0.44712499999999994</v>
      </c>
      <c r="J20" s="969" t="s">
        <v>8</v>
      </c>
      <c r="K20" s="970">
        <f>'XM.FILE GOC'!L92</f>
        <v>9.6628750000002412</v>
      </c>
      <c r="L20" s="971" t="s">
        <v>10</v>
      </c>
      <c r="M20" s="914">
        <f>IF(I20&gt;44.99%,"",'3.XT-C KH'!M20)</f>
        <v>0.46500000000000002</v>
      </c>
      <c r="N20" s="908" t="s">
        <v>8</v>
      </c>
      <c r="O20" s="1588">
        <f>IF(M20="","",('XM.FILE GOC'!$G$92-M20)*3361)</f>
        <v>-50.415000000000042</v>
      </c>
      <c r="P20" s="909" t="s">
        <v>10</v>
      </c>
      <c r="Q20" s="1747">
        <f>'XM.FILE GOC'!P92</f>
        <v>0.46993750000000001</v>
      </c>
      <c r="R20" s="969" t="s">
        <v>8</v>
      </c>
      <c r="S20" s="970">
        <f>'XM.FILE GOC'!S92</f>
        <v>0</v>
      </c>
      <c r="T20" s="971" t="s">
        <v>10</v>
      </c>
      <c r="U20" s="914" t="str">
        <f>IF(Q20&gt;44.99%,"",'3.XT-C KH'!U20)</f>
        <v/>
      </c>
      <c r="V20" s="908" t="s">
        <v>8</v>
      </c>
      <c r="W20" s="1588" t="str">
        <f>IF(U20="","",('XM.FILE GOC'!$G$92-U20)*3361)</f>
        <v/>
      </c>
      <c r="X20" s="909" t="s">
        <v>10</v>
      </c>
      <c r="Y20" s="1747">
        <f>'XM.FILE GOC'!W92</f>
        <v>0.48362500000000003</v>
      </c>
      <c r="Z20" s="2106" t="s">
        <v>8</v>
      </c>
      <c r="AA20" s="2107">
        <f>'XM.FILE GOC'!Z92</f>
        <v>0</v>
      </c>
      <c r="AB20" s="2108" t="s">
        <v>10</v>
      </c>
      <c r="AC20" s="914" t="str">
        <f>IF(Y20&gt;44.99%,"",'3.XT-C KH'!AC20)</f>
        <v/>
      </c>
      <c r="AD20" s="2280" t="s">
        <v>8</v>
      </c>
      <c r="AE20" s="1588" t="str">
        <f>IF(AC20="","",('XM.FILE GOC'!$G$92-AC20)*3361)</f>
        <v/>
      </c>
      <c r="AF20" s="2281" t="s">
        <v>10</v>
      </c>
      <c r="AG20" s="2451" t="s">
        <v>43</v>
      </c>
    </row>
    <row r="21" spans="1:38" ht="51" customHeight="1">
      <c r="A21" s="2043">
        <v>11</v>
      </c>
      <c r="B21" s="3236" t="s">
        <v>1585</v>
      </c>
      <c r="C21" s="3237"/>
      <c r="D21" s="3237"/>
      <c r="E21" s="3238"/>
      <c r="F21" s="632" t="s">
        <v>6</v>
      </c>
      <c r="G21" s="897" t="str">
        <f>'XM.FILE GOC'!$E$93</f>
        <v>40~50</v>
      </c>
      <c r="H21" s="2202" t="str">
        <f>'XM.FILE GOC'!$F$93</f>
        <v>(45±5)</v>
      </c>
      <c r="I21" s="1747">
        <f>'XM.FILE GOC'!I93</f>
        <v>0.45168749999999996</v>
      </c>
      <c r="J21" s="969" t="s">
        <v>8</v>
      </c>
      <c r="K21" s="970">
        <f>'XM.FILE GOC'!L93</f>
        <v>0</v>
      </c>
      <c r="L21" s="971" t="s">
        <v>10</v>
      </c>
      <c r="M21" s="914" t="str">
        <f>IF(I21&gt;44.99%,"",'3.XT-C KH'!M21)</f>
        <v/>
      </c>
      <c r="N21" s="910" t="s">
        <v>8</v>
      </c>
      <c r="O21" s="1588" t="str">
        <f>IF(M21="","",('XM.FILE GOC'!$G$93-M21)*10509)</f>
        <v/>
      </c>
      <c r="P21" s="911" t="s">
        <v>10</v>
      </c>
      <c r="Q21" s="1747">
        <f>'XM.FILE GOC'!P93</f>
        <v>0.45624999999999999</v>
      </c>
      <c r="R21" s="969" t="s">
        <v>8</v>
      </c>
      <c r="S21" s="970">
        <f>'XM.FILE GOC'!S93</f>
        <v>0</v>
      </c>
      <c r="T21" s="971" t="s">
        <v>10</v>
      </c>
      <c r="U21" s="914" t="str">
        <f>IF(Q21&gt;44.99%,"",'3.XT-C KH'!U21)</f>
        <v/>
      </c>
      <c r="V21" s="910" t="s">
        <v>8</v>
      </c>
      <c r="W21" s="1588" t="str">
        <f>IF(U21="","",('XM.FILE GOC'!$G$93-U21)*10509)</f>
        <v/>
      </c>
      <c r="X21" s="911" t="s">
        <v>10</v>
      </c>
      <c r="Y21" s="1747">
        <f>'XM.FILE GOC'!W93</f>
        <v>0.45624999999999999</v>
      </c>
      <c r="Z21" s="969" t="s">
        <v>8</v>
      </c>
      <c r="AA21" s="970">
        <f>'XM.FILE GOC'!Z93</f>
        <v>0</v>
      </c>
      <c r="AB21" s="971" t="s">
        <v>10</v>
      </c>
      <c r="AC21" s="914" t="str">
        <f>IF(Y21&gt;44.99%,"",'3.XT-C KH'!AC21)</f>
        <v/>
      </c>
      <c r="AD21" s="910" t="s">
        <v>8</v>
      </c>
      <c r="AE21" s="1588" t="str">
        <f>IF(AC21="","",('XM.FILE GOC'!$G$93-AC21)*10509)</f>
        <v/>
      </c>
      <c r="AF21" s="911" t="s">
        <v>10</v>
      </c>
      <c r="AG21" s="68" t="s">
        <v>43</v>
      </c>
    </row>
    <row r="22" spans="1:38" ht="51" customHeight="1">
      <c r="A22" s="2043">
        <v>12</v>
      </c>
      <c r="B22" s="3264" t="s">
        <v>947</v>
      </c>
      <c r="C22" s="3265" t="s">
        <v>947</v>
      </c>
      <c r="D22" s="3265" t="s">
        <v>947</v>
      </c>
      <c r="E22" s="3266" t="s">
        <v>947</v>
      </c>
      <c r="F22" s="632" t="s">
        <v>6</v>
      </c>
      <c r="G22" s="897" t="str">
        <f>'XM.FILE GOC'!$E$94</f>
        <v>0.5~1.0</v>
      </c>
      <c r="H22" s="2202" t="str">
        <f>'XM.FILE GOC'!$F$94</f>
        <v>(0.7±0.1)</v>
      </c>
      <c r="I22" s="2215">
        <f>'XM.FILE GOC'!I94</f>
        <v>7.4340000000000005E-3</v>
      </c>
      <c r="J22" s="969" t="s">
        <v>8</v>
      </c>
      <c r="K22" s="973">
        <f>'XM.FILE GOC'!L94</f>
        <v>0</v>
      </c>
      <c r="L22" s="974" t="s">
        <v>10</v>
      </c>
      <c r="M22" s="1572">
        <f>IF(I22&gt;0.99%,"",'3.XT-C KH'!M22)</f>
        <v>0</v>
      </c>
      <c r="N22" s="946" t="s">
        <v>8</v>
      </c>
      <c r="O22" s="1590">
        <f>IF(M22="","",('XM.FILE GOC'!$G$94-M22)*2808)</f>
        <v>19.655999999999999</v>
      </c>
      <c r="P22" s="916" t="s">
        <v>10</v>
      </c>
      <c r="Q22" s="301">
        <f>'XM.FILE GOC'!P94</f>
        <v>7.0559999999999998E-3</v>
      </c>
      <c r="R22" s="969" t="s">
        <v>8</v>
      </c>
      <c r="S22" s="973">
        <f>'XM.FILE GOC'!S94</f>
        <v>0</v>
      </c>
      <c r="T22" s="974" t="s">
        <v>10</v>
      </c>
      <c r="U22" s="1572">
        <f>IF(Q22&gt;0.99%,"",'3.XT-C KH'!U22)</f>
        <v>0</v>
      </c>
      <c r="V22" s="946" t="s">
        <v>8</v>
      </c>
      <c r="W22" s="1590">
        <f>IF(U22="","",('XM.FILE GOC'!$G$94-U22)*2808)</f>
        <v>19.655999999999999</v>
      </c>
      <c r="X22" s="916" t="s">
        <v>10</v>
      </c>
      <c r="Y22" s="301">
        <f>'XM.FILE GOC'!W94</f>
        <v>7.3080000000000003E-3</v>
      </c>
      <c r="Z22" s="969" t="s">
        <v>8</v>
      </c>
      <c r="AA22" s="973">
        <f>'XM.FILE GOC'!Z94</f>
        <v>0</v>
      </c>
      <c r="AB22" s="974" t="s">
        <v>10</v>
      </c>
      <c r="AC22" s="1572">
        <f>IF(Y22&gt;0.99%,"",'3.XT-C KH'!AC22)</f>
        <v>0</v>
      </c>
      <c r="AD22" s="946" t="s">
        <v>8</v>
      </c>
      <c r="AE22" s="1590">
        <f>IF(AC22="","",('XM.FILE GOC'!$G$94-AC22)*2808)</f>
        <v>19.655999999999999</v>
      </c>
      <c r="AF22" s="916" t="s">
        <v>10</v>
      </c>
      <c r="AG22" s="2042" t="s">
        <v>44</v>
      </c>
    </row>
    <row r="23" spans="1:38" ht="48" customHeight="1">
      <c r="A23" s="2043"/>
      <c r="B23" s="2421" t="s">
        <v>2</v>
      </c>
      <c r="C23" s="2422"/>
      <c r="D23" s="2422"/>
      <c r="E23" s="2422"/>
      <c r="F23" s="2422"/>
      <c r="G23" s="2422"/>
      <c r="H23" s="2422"/>
      <c r="I23" s="2422"/>
      <c r="J23" s="2422"/>
      <c r="K23" s="2422"/>
      <c r="L23" s="2422"/>
      <c r="M23" s="2422"/>
      <c r="N23" s="2422"/>
      <c r="O23" s="2422"/>
      <c r="P23" s="2422"/>
      <c r="Q23" s="2422"/>
      <c r="R23" s="2422"/>
      <c r="S23" s="2422"/>
      <c r="T23" s="2422"/>
      <c r="U23" s="2422"/>
      <c r="V23" s="2422"/>
      <c r="W23" s="2422"/>
      <c r="X23" s="2422"/>
      <c r="Y23" s="2422"/>
      <c r="Z23" s="2422"/>
      <c r="AA23" s="2422"/>
      <c r="AB23" s="2422"/>
      <c r="AC23" s="2422"/>
      <c r="AD23" s="2422"/>
      <c r="AE23" s="2422"/>
      <c r="AF23" s="2422"/>
      <c r="AG23" s="2423"/>
    </row>
    <row r="24" spans="1:38" ht="57.75" customHeight="1">
      <c r="A24" s="2043" t="s">
        <v>7</v>
      </c>
      <c r="B24" s="3310" t="s">
        <v>948</v>
      </c>
      <c r="C24" s="3311"/>
      <c r="D24" s="3311"/>
      <c r="E24" s="3312"/>
      <c r="F24" s="975" t="s">
        <v>949</v>
      </c>
      <c r="G24" s="975" t="s">
        <v>1296</v>
      </c>
      <c r="H24" s="2204" t="s">
        <v>1289</v>
      </c>
      <c r="I24" s="3227" t="s">
        <v>950</v>
      </c>
      <c r="J24" s="3228"/>
      <c r="K24" s="3229" t="s">
        <v>951</v>
      </c>
      <c r="L24" s="3228"/>
      <c r="M24" s="917"/>
      <c r="N24" s="918"/>
      <c r="O24" s="918"/>
      <c r="P24" s="919"/>
      <c r="Q24" s="3229" t="s">
        <v>950</v>
      </c>
      <c r="R24" s="3228"/>
      <c r="S24" s="3229" t="s">
        <v>951</v>
      </c>
      <c r="T24" s="3228"/>
      <c r="U24" s="917"/>
      <c r="V24" s="918"/>
      <c r="W24" s="918"/>
      <c r="X24" s="919"/>
      <c r="Y24" s="3229" t="s">
        <v>950</v>
      </c>
      <c r="Z24" s="3228"/>
      <c r="AA24" s="3229" t="s">
        <v>951</v>
      </c>
      <c r="AB24" s="3228"/>
      <c r="AC24" s="917"/>
      <c r="AD24" s="918"/>
      <c r="AE24" s="918"/>
      <c r="AF24" s="919"/>
      <c r="AG24" s="10"/>
    </row>
    <row r="25" spans="1:38" ht="54.75" customHeight="1">
      <c r="A25" s="2043">
        <v>1</v>
      </c>
      <c r="B25" s="3310" t="s">
        <v>952</v>
      </c>
      <c r="C25" s="3311"/>
      <c r="D25" s="3311"/>
      <c r="E25" s="3312"/>
      <c r="F25" s="976" t="s">
        <v>953</v>
      </c>
      <c r="G25" s="897" t="str">
        <f>'XM.FILE GOC'!$E$105</f>
        <v>50~70</v>
      </c>
      <c r="H25" s="2202" t="str">
        <f>'XM.FILE GOC'!$F$105</f>
        <v>(60±5)</v>
      </c>
      <c r="I25" s="3195">
        <f>'3.XT-C KH'!I29:J29</f>
        <v>58</v>
      </c>
      <c r="J25" s="3121"/>
      <c r="K25" s="3121">
        <f>'3.XT-C KH'!K29:L29</f>
        <v>58</v>
      </c>
      <c r="L25" s="3121"/>
      <c r="M25" s="920"/>
      <c r="N25" s="921"/>
      <c r="O25" s="921"/>
      <c r="P25" s="922"/>
      <c r="Q25" s="3121">
        <f>'3.XT-C KH'!Q29:R29</f>
        <v>58</v>
      </c>
      <c r="R25" s="3121"/>
      <c r="S25" s="3121">
        <f>'3.XT-C KH'!S29:T29</f>
        <v>58</v>
      </c>
      <c r="T25" s="3121"/>
      <c r="U25" s="920"/>
      <c r="V25" s="921"/>
      <c r="W25" s="921"/>
      <c r="X25" s="922"/>
      <c r="Y25" s="3121">
        <f>'3.XT-C KH'!Y29:Z29</f>
        <v>58</v>
      </c>
      <c r="Z25" s="3121"/>
      <c r="AA25" s="3121">
        <f>'3.XT-C KH'!AA29:AB29</f>
        <v>58</v>
      </c>
      <c r="AB25" s="3121"/>
      <c r="AC25" s="920"/>
      <c r="AD25" s="921"/>
      <c r="AE25" s="921"/>
      <c r="AF25" s="922"/>
      <c r="AG25" s="2044"/>
    </row>
    <row r="26" spans="1:38" ht="54.75" customHeight="1">
      <c r="A26" s="2043">
        <v>2</v>
      </c>
      <c r="B26" s="3310" t="s">
        <v>954</v>
      </c>
      <c r="C26" s="3311"/>
      <c r="D26" s="3311"/>
      <c r="E26" s="3312"/>
      <c r="F26" s="976" t="s">
        <v>953</v>
      </c>
      <c r="G26" s="897" t="str">
        <f>'XM.FILE GOC'!$E$106</f>
        <v>50~70</v>
      </c>
      <c r="H26" s="2202" t="str">
        <f>'XM.FILE GOC'!$F$106</f>
        <v>(60±5)</v>
      </c>
      <c r="I26" s="3195">
        <f>'3.XT-C KH'!I30:J30</f>
        <v>58</v>
      </c>
      <c r="J26" s="3121"/>
      <c r="K26" s="3121">
        <f>'3.XT-C KH'!K30:L30</f>
        <v>58</v>
      </c>
      <c r="L26" s="3121"/>
      <c r="M26" s="920"/>
      <c r="N26" s="921"/>
      <c r="O26" s="921"/>
      <c r="P26" s="922"/>
      <c r="Q26" s="3121">
        <f>'3.XT-C KH'!Q30:R30</f>
        <v>58</v>
      </c>
      <c r="R26" s="3121"/>
      <c r="S26" s="3121">
        <f>'3.XT-C KH'!S30:T30</f>
        <v>58</v>
      </c>
      <c r="T26" s="3121"/>
      <c r="U26" s="920"/>
      <c r="V26" s="921"/>
      <c r="W26" s="921"/>
      <c r="X26" s="922"/>
      <c r="Y26" s="3121">
        <f>'3.XT-C KH'!Y30:Z30</f>
        <v>59</v>
      </c>
      <c r="Z26" s="3121"/>
      <c r="AA26" s="3121">
        <f>'3.XT-C KH'!AA30:AB30</f>
        <v>58</v>
      </c>
      <c r="AB26" s="3121"/>
      <c r="AC26" s="920"/>
      <c r="AD26" s="921"/>
      <c r="AE26" s="921"/>
      <c r="AF26" s="922"/>
      <c r="AG26" s="2044"/>
    </row>
    <row r="27" spans="1:38" ht="54.75" customHeight="1">
      <c r="A27" s="2043">
        <v>3</v>
      </c>
      <c r="B27" s="3310" t="s">
        <v>955</v>
      </c>
      <c r="C27" s="3311"/>
      <c r="D27" s="3311"/>
      <c r="E27" s="3312"/>
      <c r="F27" s="976" t="s">
        <v>953</v>
      </c>
      <c r="G27" s="897" t="str">
        <f>'XM.FILE GOC'!$E$107</f>
        <v>50~70</v>
      </c>
      <c r="H27" s="2202" t="str">
        <f>'XM.FILE GOC'!$F$107</f>
        <v>(60±5)</v>
      </c>
      <c r="I27" s="3195">
        <f>'3.XT-C KH'!I31:J31</f>
        <v>59</v>
      </c>
      <c r="J27" s="3121"/>
      <c r="K27" s="3121">
        <f>'3.XT-C KH'!K31:L31</f>
        <v>58</v>
      </c>
      <c r="L27" s="3121"/>
      <c r="M27" s="920"/>
      <c r="N27" s="921"/>
      <c r="O27" s="921"/>
      <c r="P27" s="922"/>
      <c r="Q27" s="3121">
        <f>'3.XT-C KH'!Q31:R31</f>
        <v>58</v>
      </c>
      <c r="R27" s="3121"/>
      <c r="S27" s="3121">
        <f>'3.XT-C KH'!S31:T31</f>
        <v>59</v>
      </c>
      <c r="T27" s="3121"/>
      <c r="U27" s="920"/>
      <c r="V27" s="921"/>
      <c r="W27" s="921"/>
      <c r="X27" s="922"/>
      <c r="Y27" s="3121">
        <f>'3.XT-C KH'!Y31:Z31</f>
        <v>59</v>
      </c>
      <c r="Z27" s="3121"/>
      <c r="AA27" s="3121">
        <f>'3.XT-C KH'!AA31:AB31</f>
        <v>58</v>
      </c>
      <c r="AB27" s="3121"/>
      <c r="AC27" s="920"/>
      <c r="AD27" s="921"/>
      <c r="AE27" s="921"/>
      <c r="AF27" s="922"/>
      <c r="AG27" s="2044"/>
    </row>
    <row r="28" spans="1:38" ht="54.75" customHeight="1">
      <c r="A28" s="2043">
        <v>4</v>
      </c>
      <c r="B28" s="3310" t="s">
        <v>956</v>
      </c>
      <c r="C28" s="3311"/>
      <c r="D28" s="3311"/>
      <c r="E28" s="3312"/>
      <c r="F28" s="976" t="s">
        <v>953</v>
      </c>
      <c r="G28" s="897" t="str">
        <f>'XM.FILE GOC'!$E$108</f>
        <v>50~70</v>
      </c>
      <c r="H28" s="2202" t="str">
        <f>'XM.FILE GOC'!$F$108</f>
        <v>(60±5)</v>
      </c>
      <c r="I28" s="3195">
        <f>'3.XT-C KH'!I32:J32</f>
        <v>59</v>
      </c>
      <c r="J28" s="3121"/>
      <c r="K28" s="3121">
        <f>'3.XT-C KH'!K32:L32</f>
        <v>58</v>
      </c>
      <c r="L28" s="3121"/>
      <c r="M28" s="920"/>
      <c r="N28" s="921"/>
      <c r="O28" s="921"/>
      <c r="P28" s="922"/>
      <c r="Q28" s="3121">
        <f>'3.XT-C KH'!Q32:R32</f>
        <v>59</v>
      </c>
      <c r="R28" s="3121"/>
      <c r="S28" s="3121">
        <f>'3.XT-C KH'!S32:T32</f>
        <v>59</v>
      </c>
      <c r="T28" s="3121"/>
      <c r="U28" s="920"/>
      <c r="V28" s="921"/>
      <c r="W28" s="921"/>
      <c r="X28" s="922"/>
      <c r="Y28" s="3121">
        <f>'3.XT-C KH'!Y32:Z32</f>
        <v>58</v>
      </c>
      <c r="Z28" s="3121"/>
      <c r="AA28" s="3121">
        <f>'3.XT-C KH'!AA32:AB32</f>
        <v>58</v>
      </c>
      <c r="AB28" s="3121"/>
      <c r="AC28" s="920"/>
      <c r="AD28" s="921"/>
      <c r="AE28" s="921"/>
      <c r="AF28" s="922"/>
      <c r="AG28" s="2044"/>
    </row>
    <row r="29" spans="1:38" ht="54.75" customHeight="1">
      <c r="A29" s="1582">
        <v>5</v>
      </c>
      <c r="B29" s="3306" t="s">
        <v>116</v>
      </c>
      <c r="C29" s="3307"/>
      <c r="D29" s="3307"/>
      <c r="E29" s="3308"/>
      <c r="F29" s="2050" t="s">
        <v>26</v>
      </c>
      <c r="G29" s="2051" t="str">
        <f>'XM.GUI MAIL'!$E$117</f>
        <v>24~28</v>
      </c>
      <c r="H29" s="2219" t="str">
        <f>'XM.GUI MAIL'!$F$117</f>
        <v>(26±2)</v>
      </c>
      <c r="I29" s="3309">
        <f>'3.XT-C KH'!AQ12</f>
        <v>0</v>
      </c>
      <c r="J29" s="3108"/>
      <c r="K29" s="3107">
        <f>'3.XT-C KH'!AS12</f>
        <v>0</v>
      </c>
      <c r="L29" s="3108"/>
      <c r="M29" s="920"/>
      <c r="N29" s="921"/>
      <c r="O29" s="921"/>
      <c r="P29" s="922"/>
      <c r="Q29" s="3309">
        <f>'3.XT-C KH'!AY12</f>
        <v>0</v>
      </c>
      <c r="R29" s="3108"/>
      <c r="S29" s="3107">
        <f>'3.XT-C KH'!BA12</f>
        <v>0</v>
      </c>
      <c r="T29" s="3108"/>
      <c r="U29" s="920"/>
      <c r="V29" s="921"/>
      <c r="W29" s="921"/>
      <c r="X29" s="922"/>
      <c r="Y29" s="3309">
        <f>'3.XT-C KH'!BG12</f>
        <v>0</v>
      </c>
      <c r="Z29" s="3108"/>
      <c r="AA29" s="3107">
        <f>'3.XT-C KH'!BI12</f>
        <v>0</v>
      </c>
      <c r="AB29" s="3108"/>
      <c r="AC29" s="920"/>
      <c r="AD29" s="921"/>
      <c r="AE29" s="921"/>
      <c r="AF29" s="922"/>
      <c r="AG29" s="73"/>
    </row>
    <row r="30" spans="1:38" ht="54.75" customHeight="1">
      <c r="A30" s="1575">
        <v>6</v>
      </c>
      <c r="B30" s="3306" t="s">
        <v>120</v>
      </c>
      <c r="C30" s="3307"/>
      <c r="D30" s="3307"/>
      <c r="E30" s="3308"/>
      <c r="F30" s="2050" t="s">
        <v>26</v>
      </c>
      <c r="G30" s="2051" t="str">
        <f>'XM.GUI MAIL'!$E$118</f>
        <v>20~30</v>
      </c>
      <c r="H30" s="2219" t="str">
        <f>'XM.GUI MAIL'!$F$118</f>
        <v>(25±5)</v>
      </c>
      <c r="I30" s="3309">
        <f>'3.XT-C KH'!AQ13</f>
        <v>0</v>
      </c>
      <c r="J30" s="3108"/>
      <c r="K30" s="3107">
        <f>'3.XT-C KH'!AS13</f>
        <v>0</v>
      </c>
      <c r="L30" s="3313"/>
      <c r="M30" s="920"/>
      <c r="N30" s="921"/>
      <c r="O30" s="921"/>
      <c r="P30" s="922"/>
      <c r="Q30" s="3309">
        <f>'3.XT-C KH'!AY13</f>
        <v>0</v>
      </c>
      <c r="R30" s="3108"/>
      <c r="S30" s="3107">
        <f>'3.XT-C KH'!BA13</f>
        <v>0</v>
      </c>
      <c r="T30" s="3313"/>
      <c r="U30" s="920"/>
      <c r="V30" s="921"/>
      <c r="W30" s="921"/>
      <c r="X30" s="922"/>
      <c r="Y30" s="3309">
        <f>'3.XT-C KH'!BG13</f>
        <v>0</v>
      </c>
      <c r="Z30" s="3108"/>
      <c r="AA30" s="3107">
        <f>'3.XT-C KH'!BI13</f>
        <v>0</v>
      </c>
      <c r="AB30" s="3313"/>
      <c r="AC30" s="920"/>
      <c r="AD30" s="921"/>
      <c r="AE30" s="921"/>
      <c r="AF30" s="922"/>
      <c r="AG30" s="2669"/>
    </row>
    <row r="31" spans="1:38" ht="54.75" customHeight="1">
      <c r="A31" s="1583">
        <v>7</v>
      </c>
      <c r="B31" s="3320" t="s">
        <v>959</v>
      </c>
      <c r="C31" s="3321"/>
      <c r="D31" s="3321"/>
      <c r="E31" s="3322"/>
      <c r="F31" s="1578" t="s">
        <v>953</v>
      </c>
      <c r="G31" s="1579" t="str">
        <f>'XM.FILE GOC'!$E$111</f>
        <v>55~65</v>
      </c>
      <c r="H31" s="2218" t="str">
        <f>'XM.FILE GOC'!$F$111</f>
        <v>(60±5)</v>
      </c>
      <c r="I31" s="3323">
        <f>'3.XT-C KH'!I35</f>
        <v>62</v>
      </c>
      <c r="J31" s="3324"/>
      <c r="K31" s="3324">
        <f>'3.XT-C KH'!K35</f>
        <v>61</v>
      </c>
      <c r="L31" s="3324"/>
      <c r="M31" s="920"/>
      <c r="N31" s="921"/>
      <c r="O31" s="921"/>
      <c r="P31" s="922"/>
      <c r="Q31" s="3324">
        <f>'3.XT-C KH'!Q35</f>
        <v>61</v>
      </c>
      <c r="R31" s="3324"/>
      <c r="S31" s="3324">
        <f>'3.XT-C KH'!S35</f>
        <v>62</v>
      </c>
      <c r="T31" s="3324"/>
      <c r="U31" s="920"/>
      <c r="V31" s="921"/>
      <c r="W31" s="921"/>
      <c r="X31" s="922"/>
      <c r="Y31" s="3324">
        <f>'3.XT-C KH'!Y35</f>
        <v>58</v>
      </c>
      <c r="Z31" s="3324"/>
      <c r="AA31" s="3324">
        <f>'3.XT-C KH'!AA35</f>
        <v>57</v>
      </c>
      <c r="AB31" s="3324"/>
      <c r="AC31" s="920"/>
      <c r="AD31" s="921"/>
      <c r="AE31" s="921"/>
      <c r="AF31" s="922"/>
      <c r="AG31" s="1580"/>
    </row>
    <row r="32" spans="1:38" ht="54.75" customHeight="1">
      <c r="A32" s="2043">
        <v>8</v>
      </c>
      <c r="B32" s="3310" t="s">
        <v>960</v>
      </c>
      <c r="C32" s="3311"/>
      <c r="D32" s="3311"/>
      <c r="E32" s="3312"/>
      <c r="F32" s="976" t="s">
        <v>953</v>
      </c>
      <c r="G32" s="897" t="str">
        <f>'XM.FILE GOC'!$E$112</f>
        <v>80~100</v>
      </c>
      <c r="H32" s="2202" t="str">
        <f>'XM.FILE GOC'!$F$112</f>
        <v>(90±5)</v>
      </c>
      <c r="I32" s="3228" t="str">
        <f>'3.XT-C KH'!I36</f>
        <v>\</v>
      </c>
      <c r="J32" s="3284"/>
      <c r="K32" s="3121">
        <f>'3.XT-C KH'!K36</f>
        <v>93</v>
      </c>
      <c r="L32" s="3121"/>
      <c r="M32" s="920"/>
      <c r="N32" s="921"/>
      <c r="O32" s="921"/>
      <c r="P32" s="922"/>
      <c r="Q32" s="3284" t="str">
        <f>'3.XT-C KH'!Q36</f>
        <v>\</v>
      </c>
      <c r="R32" s="3284"/>
      <c r="S32" s="3121">
        <f>'3.XT-C KH'!S36</f>
        <v>92</v>
      </c>
      <c r="T32" s="3121"/>
      <c r="U32" s="920"/>
      <c r="V32" s="921"/>
      <c r="W32" s="921"/>
      <c r="X32" s="922"/>
      <c r="Y32" s="3284" t="str">
        <f>'3.XT-C KH'!Y36</f>
        <v>\</v>
      </c>
      <c r="Z32" s="3284"/>
      <c r="AA32" s="3121">
        <f>'3.XT-C KH'!AA36</f>
        <v>92</v>
      </c>
      <c r="AB32" s="3121"/>
      <c r="AC32" s="920"/>
      <c r="AD32" s="921"/>
      <c r="AE32" s="921"/>
      <c r="AF32" s="922"/>
      <c r="AG32" s="2044"/>
    </row>
    <row r="33" spans="1:33" ht="54.75" customHeight="1">
      <c r="A33" s="2043">
        <v>9</v>
      </c>
      <c r="B33" s="3325" t="s">
        <v>1274</v>
      </c>
      <c r="C33" s="3326"/>
      <c r="D33" s="3326"/>
      <c r="E33" s="3327"/>
      <c r="F33" s="976" t="s">
        <v>953</v>
      </c>
      <c r="G33" s="897" t="str">
        <f>'XM.FILE GOC'!$E$113</f>
        <v>40~60</v>
      </c>
      <c r="H33" s="2202" t="str">
        <f>'XM.FILE GOC'!$F$113</f>
        <v>(50±10)</v>
      </c>
      <c r="I33" s="3276">
        <f>'3.XT-C KH'!I37</f>
        <v>56</v>
      </c>
      <c r="J33" s="3277"/>
      <c r="K33" s="3277">
        <f>'3.XT-C KH'!K37</f>
        <v>55</v>
      </c>
      <c r="L33" s="3277"/>
      <c r="M33" s="920"/>
      <c r="N33" s="921"/>
      <c r="O33" s="921"/>
      <c r="P33" s="922"/>
      <c r="Q33" s="3277">
        <f>'3.XT-C KH'!Q37</f>
        <v>56</v>
      </c>
      <c r="R33" s="3277"/>
      <c r="S33" s="3277">
        <f>'3.XT-C KH'!S37</f>
        <v>56</v>
      </c>
      <c r="T33" s="3277"/>
      <c r="U33" s="920"/>
      <c r="V33" s="921"/>
      <c r="W33" s="921"/>
      <c r="X33" s="922"/>
      <c r="Y33" s="3277">
        <f>'3.XT-C KH'!Y37</f>
        <v>56</v>
      </c>
      <c r="Z33" s="3277"/>
      <c r="AA33" s="3277">
        <f>'3.XT-C KH'!AA37</f>
        <v>55</v>
      </c>
      <c r="AB33" s="3277"/>
      <c r="AC33" s="920"/>
      <c r="AD33" s="921"/>
      <c r="AE33" s="921"/>
      <c r="AF33" s="922"/>
      <c r="AG33" s="2044"/>
    </row>
    <row r="34" spans="1:33" ht="54.75" customHeight="1">
      <c r="A34" s="2043">
        <v>10</v>
      </c>
      <c r="B34" s="3328" t="s">
        <v>1277</v>
      </c>
      <c r="C34" s="3329"/>
      <c r="D34" s="3329"/>
      <c r="E34" s="3330"/>
      <c r="F34" s="2052" t="s">
        <v>953</v>
      </c>
      <c r="G34" s="897" t="str">
        <f>'XM.FILE GOC'!$E$114</f>
        <v>50~70</v>
      </c>
      <c r="H34" s="2202" t="str">
        <f>'XM.FILE GOC'!$F$114</f>
        <v>(60±10)</v>
      </c>
      <c r="I34" s="3276">
        <f>'3.XT-C KH'!I38</f>
        <v>62</v>
      </c>
      <c r="J34" s="3277"/>
      <c r="K34" s="3277">
        <f>'3.XT-C KH'!K38</f>
        <v>63</v>
      </c>
      <c r="L34" s="3277"/>
      <c r="M34" s="920"/>
      <c r="N34" s="921"/>
      <c r="O34" s="921"/>
      <c r="P34" s="922"/>
      <c r="Q34" s="3277">
        <f>'3.XT-C KH'!Q38</f>
        <v>62</v>
      </c>
      <c r="R34" s="3277"/>
      <c r="S34" s="3277">
        <f>'3.XT-C KH'!S38</f>
        <v>62</v>
      </c>
      <c r="T34" s="3277"/>
      <c r="U34" s="920"/>
      <c r="V34" s="921"/>
      <c r="W34" s="921"/>
      <c r="X34" s="922"/>
      <c r="Y34" s="3277">
        <f>'3.XT-C KH'!Y38</f>
        <v>62</v>
      </c>
      <c r="Z34" s="3277"/>
      <c r="AA34" s="3277">
        <f>'3.XT-C KH'!AA38</f>
        <v>63</v>
      </c>
      <c r="AB34" s="3277"/>
      <c r="AC34" s="920"/>
      <c r="AD34" s="921"/>
      <c r="AE34" s="921"/>
      <c r="AF34" s="922"/>
      <c r="AG34" s="2044"/>
    </row>
    <row r="35" spans="1:33" ht="65.25" customHeight="1">
      <c r="A35" s="977"/>
      <c r="B35" s="898"/>
      <c r="C35" s="898"/>
      <c r="D35" s="898"/>
      <c r="E35" s="898"/>
      <c r="F35" s="978"/>
      <c r="G35" s="978"/>
      <c r="H35" s="978"/>
      <c r="I35" s="978"/>
      <c r="J35" s="978"/>
      <c r="K35" s="978"/>
      <c r="L35" s="978"/>
      <c r="M35" s="943"/>
      <c r="N35" s="943"/>
      <c r="O35" s="943"/>
      <c r="P35" s="943"/>
      <c r="Q35" s="978"/>
      <c r="R35" s="978"/>
      <c r="S35" s="978"/>
      <c r="T35" s="978"/>
      <c r="U35" s="943"/>
      <c r="V35" s="943"/>
      <c r="W35" s="943"/>
      <c r="X35" s="943"/>
      <c r="Y35" s="978"/>
      <c r="Z35" s="978"/>
      <c r="AA35" s="978"/>
      <c r="AB35" s="978"/>
      <c r="AC35" s="943"/>
      <c r="AD35" s="943"/>
      <c r="AE35" s="943"/>
      <c r="AF35" s="943"/>
      <c r="AG35" s="61"/>
    </row>
    <row r="36" spans="1:33" ht="42" customHeight="1">
      <c r="B36" s="1540" t="s">
        <v>134</v>
      </c>
      <c r="C36" s="1540"/>
      <c r="D36" s="1540"/>
      <c r="E36" s="1540"/>
      <c r="F36" s="1540"/>
      <c r="G36" s="1540"/>
      <c r="H36" s="1540"/>
      <c r="I36" s="1540"/>
      <c r="J36" s="1540"/>
      <c r="K36" s="1540"/>
      <c r="L36" s="1540"/>
      <c r="M36" s="1540"/>
      <c r="N36" s="1540"/>
      <c r="O36" s="1540"/>
      <c r="P36" s="1540"/>
      <c r="Q36" s="1540"/>
      <c r="R36" s="1540"/>
      <c r="S36" s="1540"/>
      <c r="T36" s="1540"/>
      <c r="U36" s="1540"/>
      <c r="V36" s="1540"/>
      <c r="W36" s="1540"/>
      <c r="X36" s="1540"/>
      <c r="Y36" s="1540"/>
      <c r="Z36" s="1540"/>
      <c r="AA36" s="2418"/>
      <c r="AB36" s="2418"/>
      <c r="AC36" s="2419"/>
      <c r="AD36" s="945"/>
      <c r="AE36" s="945"/>
      <c r="AF36" s="945"/>
      <c r="AG36" s="60"/>
    </row>
    <row r="37" spans="1:33" ht="51" customHeight="1">
      <c r="B37" s="2420" t="s">
        <v>1493</v>
      </c>
      <c r="C37" s="2420"/>
      <c r="D37" s="2420"/>
      <c r="E37" s="2420"/>
      <c r="F37" s="2420"/>
      <c r="G37" s="2420"/>
      <c r="H37" s="2420"/>
      <c r="I37" s="2420"/>
      <c r="J37" s="2420"/>
      <c r="K37" s="2420"/>
      <c r="L37" s="2420"/>
      <c r="M37" s="2420"/>
      <c r="N37" s="2420"/>
      <c r="O37" s="2420"/>
      <c r="P37" s="2420"/>
      <c r="Q37" s="2420"/>
      <c r="R37" s="2420"/>
      <c r="S37" s="2420"/>
      <c r="T37" s="2420"/>
      <c r="U37" s="2420"/>
      <c r="V37" s="2420"/>
      <c r="W37" s="2420"/>
      <c r="X37" s="2420"/>
      <c r="Y37" s="2420"/>
      <c r="Z37" s="2420"/>
      <c r="AA37" s="2412"/>
      <c r="AB37" s="2412"/>
      <c r="AC37" s="2413"/>
      <c r="AD37" s="3128" t="s">
        <v>87</v>
      </c>
      <c r="AE37" s="3128"/>
      <c r="AF37" s="3130" t="s">
        <v>88</v>
      </c>
      <c r="AG37" s="3131"/>
    </row>
    <row r="38" spans="1:33" ht="40.5" customHeight="1">
      <c r="A38" s="966"/>
      <c r="B38" s="1418" t="s">
        <v>126</v>
      </c>
      <c r="C38" s="1419"/>
      <c r="D38" s="1389"/>
      <c r="E38" s="1390"/>
      <c r="F38" s="1391"/>
      <c r="G38" s="1388" t="s">
        <v>1595</v>
      </c>
      <c r="H38" s="1812" t="str">
        <f>MENU!$AC$9</f>
        <v>Thứ 5,</v>
      </c>
      <c r="I38" s="3196" t="str">
        <f>MENU!$AD$9</f>
        <v>2024/08/01</v>
      </c>
      <c r="J38" s="3197"/>
      <c r="K38" s="3197"/>
      <c r="L38" s="3197"/>
      <c r="M38" s="942"/>
      <c r="N38" s="942"/>
      <c r="O38" s="942"/>
      <c r="P38" s="942"/>
      <c r="Q38" s="968"/>
      <c r="R38" s="968"/>
      <c r="S38" s="968"/>
      <c r="T38" s="968"/>
      <c r="U38" s="942"/>
      <c r="V38" s="942"/>
      <c r="W38" s="942"/>
      <c r="X38" s="942"/>
      <c r="Y38" s="968"/>
      <c r="Z38" s="968"/>
      <c r="AA38" s="3208"/>
      <c r="AB38" s="3208"/>
      <c r="AC38" s="940"/>
      <c r="AD38" s="3129" t="str">
        <f>MENU!AE7</f>
        <v>Trang</v>
      </c>
      <c r="AE38" s="3129"/>
      <c r="AF38" s="3204" t="s">
        <v>11</v>
      </c>
      <c r="AG38" s="3133"/>
    </row>
    <row r="39" spans="1:33" s="61" customFormat="1" ht="36.75" customHeight="1">
      <c r="A39" s="3273" t="s">
        <v>7</v>
      </c>
      <c r="B39" s="3151" t="s">
        <v>75</v>
      </c>
      <c r="C39" s="3152"/>
      <c r="D39" s="3152"/>
      <c r="E39" s="3153"/>
      <c r="F39" s="3149" t="s">
        <v>123</v>
      </c>
      <c r="G39" s="3180" t="s">
        <v>1296</v>
      </c>
      <c r="H39" s="3185" t="s">
        <v>1289</v>
      </c>
      <c r="I39" s="3209">
        <v>0.80208333333333337</v>
      </c>
      <c r="J39" s="3168"/>
      <c r="K39" s="3168"/>
      <c r="L39" s="3169"/>
      <c r="M39" s="3123" t="s">
        <v>929</v>
      </c>
      <c r="N39" s="3124"/>
      <c r="O39" s="3124"/>
      <c r="P39" s="3125"/>
      <c r="Q39" s="3167">
        <v>0.96875</v>
      </c>
      <c r="R39" s="3168"/>
      <c r="S39" s="3168"/>
      <c r="T39" s="3169"/>
      <c r="U39" s="3123" t="s">
        <v>929</v>
      </c>
      <c r="V39" s="3124"/>
      <c r="W39" s="3124"/>
      <c r="X39" s="3125"/>
      <c r="Y39" s="3210">
        <v>0.13541666666666666</v>
      </c>
      <c r="Z39" s="3149"/>
      <c r="AA39" s="3149"/>
      <c r="AB39" s="3149"/>
      <c r="AC39" s="3123" t="s">
        <v>929</v>
      </c>
      <c r="AD39" s="3124"/>
      <c r="AE39" s="3124"/>
      <c r="AF39" s="3125"/>
      <c r="AG39" s="3216" t="s">
        <v>38</v>
      </c>
    </row>
    <row r="40" spans="1:33" s="61" customFormat="1" ht="48.75" customHeight="1">
      <c r="A40" s="3273"/>
      <c r="B40" s="3154"/>
      <c r="C40" s="3155"/>
      <c r="D40" s="3155"/>
      <c r="E40" s="3156"/>
      <c r="F40" s="3150"/>
      <c r="G40" s="3181"/>
      <c r="H40" s="3186"/>
      <c r="I40" s="2189" t="s">
        <v>128</v>
      </c>
      <c r="J40" s="3173" t="s">
        <v>1</v>
      </c>
      <c r="K40" s="3174"/>
      <c r="L40" s="3175"/>
      <c r="M40" s="906" t="s">
        <v>128</v>
      </c>
      <c r="N40" s="3126" t="s">
        <v>1</v>
      </c>
      <c r="O40" s="3126"/>
      <c r="P40" s="3127"/>
      <c r="Q40" s="948" t="s">
        <v>128</v>
      </c>
      <c r="R40" s="3173" t="s">
        <v>1</v>
      </c>
      <c r="S40" s="3174"/>
      <c r="T40" s="3175"/>
      <c r="U40" s="906" t="s">
        <v>128</v>
      </c>
      <c r="V40" s="3126" t="s">
        <v>1</v>
      </c>
      <c r="W40" s="3126"/>
      <c r="X40" s="3127"/>
      <c r="Y40" s="948" t="s">
        <v>128</v>
      </c>
      <c r="Z40" s="3173" t="s">
        <v>1</v>
      </c>
      <c r="AA40" s="3174"/>
      <c r="AB40" s="3175"/>
      <c r="AC40" s="906" t="s">
        <v>128</v>
      </c>
      <c r="AD40" s="3126" t="s">
        <v>1</v>
      </c>
      <c r="AE40" s="3126"/>
      <c r="AF40" s="3127"/>
      <c r="AG40" s="3217"/>
    </row>
    <row r="41" spans="1:33" ht="53.25" customHeight="1">
      <c r="A41" s="3249">
        <v>1</v>
      </c>
      <c r="B41" s="3251" t="s">
        <v>940</v>
      </c>
      <c r="C41" s="3252"/>
      <c r="D41" s="3164" t="s">
        <v>229</v>
      </c>
      <c r="E41" s="3165"/>
      <c r="F41" s="2885" t="s">
        <v>4</v>
      </c>
      <c r="G41" s="897" t="str">
        <f>'[6]XM.FILE GOC'!$E$78</f>
        <v>40~60</v>
      </c>
      <c r="H41" s="2202" t="str">
        <f>'XM.FILE GOC'!$F$78</f>
        <v>(50±5)</v>
      </c>
      <c r="I41" s="2211">
        <f>'XM.FILE GOC'!AD78</f>
        <v>0</v>
      </c>
      <c r="J41" s="969" t="s">
        <v>8</v>
      </c>
      <c r="K41" s="970">
        <f>'XM.FILE GOC'!AG78</f>
        <v>775.85</v>
      </c>
      <c r="L41" s="971" t="s">
        <v>9</v>
      </c>
      <c r="M41" s="1573">
        <f>'3.XT-C KH'!M51</f>
        <v>0</v>
      </c>
      <c r="N41" s="908" t="s">
        <v>8</v>
      </c>
      <c r="O41" s="1588" t="str">
        <f>IF(M41=0,"",('XM.FILE GOC'!$G$78-M41)*15517/1000)</f>
        <v/>
      </c>
      <c r="P41" s="909" t="s">
        <v>9</v>
      </c>
      <c r="Q41" s="53">
        <f>'XM.FILE GOC'!AK78</f>
        <v>0</v>
      </c>
      <c r="R41" s="969" t="s">
        <v>8</v>
      </c>
      <c r="S41" s="970">
        <f>'XM.FILE GOC'!AN78</f>
        <v>775.85</v>
      </c>
      <c r="T41" s="971" t="s">
        <v>9</v>
      </c>
      <c r="U41" s="1573">
        <f>'3.XT-C KH'!U51</f>
        <v>0</v>
      </c>
      <c r="V41" s="908" t="s">
        <v>8</v>
      </c>
      <c r="W41" s="1588" t="str">
        <f>IF(U41=0,"",('XM.FILE GOC'!$G$78-U41)*15517/1000)</f>
        <v/>
      </c>
      <c r="X41" s="909" t="s">
        <v>9</v>
      </c>
      <c r="Y41" s="53">
        <f>'XM.FILE GOC'!AR78</f>
        <v>0</v>
      </c>
      <c r="Z41" s="969" t="s">
        <v>8</v>
      </c>
      <c r="AA41" s="970">
        <f>'XM.FILE GOC'!AU78</f>
        <v>775.85</v>
      </c>
      <c r="AB41" s="971" t="s">
        <v>9</v>
      </c>
      <c r="AC41" s="1573">
        <f>'3.XT-C KH'!AC51</f>
        <v>0</v>
      </c>
      <c r="AD41" s="908" t="s">
        <v>8</v>
      </c>
      <c r="AE41" s="1588" t="str">
        <f>IF(AC41=0,"",('XM.FILE GOC'!$G$78-AC41)*15517/1000)</f>
        <v/>
      </c>
      <c r="AF41" s="909" t="s">
        <v>9</v>
      </c>
      <c r="AG41" s="2042" t="s">
        <v>39</v>
      </c>
    </row>
    <row r="42" spans="1:33" ht="53.25" customHeight="1">
      <c r="A42" s="3250"/>
      <c r="B42" s="3253"/>
      <c r="C42" s="3254"/>
      <c r="D42" s="3164" t="s">
        <v>230</v>
      </c>
      <c r="E42" s="3165"/>
      <c r="F42" s="896"/>
      <c r="G42" s="897" t="s">
        <v>1479</v>
      </c>
      <c r="H42" s="2202"/>
      <c r="I42" s="2212"/>
      <c r="J42" s="58"/>
      <c r="K42" s="952">
        <f>K41/25*8.5</f>
        <v>263.78900000000004</v>
      </c>
      <c r="L42" s="587" t="s">
        <v>10</v>
      </c>
      <c r="M42" s="1573">
        <f>'3.XT-C KH'!M52</f>
        <v>0</v>
      </c>
      <c r="N42" s="910" t="s">
        <v>8</v>
      </c>
      <c r="O42" s="1586" t="str">
        <f>IF(M41=0,"",O41/25*8.5)</f>
        <v/>
      </c>
      <c r="P42" s="911" t="s">
        <v>10</v>
      </c>
      <c r="Q42" s="296"/>
      <c r="R42" s="58"/>
      <c r="S42" s="952">
        <f>S41/25*8.5</f>
        <v>263.78900000000004</v>
      </c>
      <c r="T42" s="587" t="s">
        <v>10</v>
      </c>
      <c r="U42" s="1573">
        <f>'3.XT-C KH'!U52</f>
        <v>0</v>
      </c>
      <c r="V42" s="910" t="s">
        <v>8</v>
      </c>
      <c r="W42" s="1586" t="str">
        <f>IF(U41=0,"",W41/25*8.5)</f>
        <v/>
      </c>
      <c r="X42" s="911" t="s">
        <v>10</v>
      </c>
      <c r="Y42" s="296"/>
      <c r="Z42" s="58"/>
      <c r="AA42" s="952">
        <f>AA41/25*8.5</f>
        <v>263.78900000000004</v>
      </c>
      <c r="AB42" s="587" t="s">
        <v>10</v>
      </c>
      <c r="AC42" s="1573">
        <f>'3.XT-C KH'!AC52</f>
        <v>0</v>
      </c>
      <c r="AD42" s="910" t="s">
        <v>8</v>
      </c>
      <c r="AE42" s="1586" t="str">
        <f>IF(AC41=0,"",AE41/25*8.5)</f>
        <v/>
      </c>
      <c r="AF42" s="911" t="s">
        <v>10</v>
      </c>
      <c r="AG42" s="2042"/>
    </row>
    <row r="43" spans="1:33" ht="53.25" customHeight="1">
      <c r="A43" s="3249">
        <v>2</v>
      </c>
      <c r="B43" s="3251" t="s">
        <v>941</v>
      </c>
      <c r="C43" s="3252"/>
      <c r="D43" s="3164" t="s">
        <v>229</v>
      </c>
      <c r="E43" s="3165"/>
      <c r="F43" s="2885" t="s">
        <v>4</v>
      </c>
      <c r="G43" s="897" t="str">
        <f>'[6]XM.FILE GOC'!$E$80</f>
        <v>40~60</v>
      </c>
      <c r="H43" s="2202" t="str">
        <f>'XM.FILE GOC'!$F$80</f>
        <v>(50±5)</v>
      </c>
      <c r="I43" s="2211">
        <f>'XM.FILE GOC'!AD80</f>
        <v>0</v>
      </c>
      <c r="J43" s="969" t="s">
        <v>8</v>
      </c>
      <c r="K43" s="970">
        <f>'XM.FILE GOC'!AG80</f>
        <v>573.75</v>
      </c>
      <c r="L43" s="971" t="s">
        <v>9</v>
      </c>
      <c r="M43" s="1573">
        <f>'3.XT-C KH'!M53</f>
        <v>0</v>
      </c>
      <c r="N43" s="908" t="s">
        <v>8</v>
      </c>
      <c r="O43" s="1588" t="str">
        <f>IF(M43=0,"",('XM.FILE GOC'!$G$80-M43)*11475/1000)</f>
        <v/>
      </c>
      <c r="P43" s="909" t="s">
        <v>9</v>
      </c>
      <c r="Q43" s="53">
        <f>'XM.FILE GOC'!AK80</f>
        <v>0</v>
      </c>
      <c r="R43" s="969" t="s">
        <v>8</v>
      </c>
      <c r="S43" s="970">
        <f>'XM.FILE GOC'!AN80</f>
        <v>573.75</v>
      </c>
      <c r="T43" s="971" t="s">
        <v>9</v>
      </c>
      <c r="U43" s="1573">
        <f>'3.XT-C KH'!U53</f>
        <v>0</v>
      </c>
      <c r="V43" s="908" t="s">
        <v>8</v>
      </c>
      <c r="W43" s="1588" t="str">
        <f>IF(U43=0,"",('XM.FILE GOC'!$G$80-U43)*11475/1000)</f>
        <v/>
      </c>
      <c r="X43" s="909" t="s">
        <v>9</v>
      </c>
      <c r="Y43" s="53">
        <f>'XM.FILE GOC'!AR80</f>
        <v>0</v>
      </c>
      <c r="Z43" s="969" t="s">
        <v>8</v>
      </c>
      <c r="AA43" s="970">
        <f>'XM.FILE GOC'!AU80</f>
        <v>573.75</v>
      </c>
      <c r="AB43" s="971" t="s">
        <v>9</v>
      </c>
      <c r="AC43" s="1573">
        <f>'3.XT-C KH'!AC53</f>
        <v>0</v>
      </c>
      <c r="AD43" s="908" t="s">
        <v>8</v>
      </c>
      <c r="AE43" s="1588" t="str">
        <f>IF(AC43=0,"",('XM.FILE GOC'!$G$80-AC43)*11475/1000)</f>
        <v/>
      </c>
      <c r="AF43" s="909" t="s">
        <v>9</v>
      </c>
      <c r="AG43" s="2042" t="s">
        <v>39</v>
      </c>
    </row>
    <row r="44" spans="1:33" ht="53.25" customHeight="1">
      <c r="A44" s="3250"/>
      <c r="B44" s="3253"/>
      <c r="C44" s="3254"/>
      <c r="D44" s="3164" t="s">
        <v>230</v>
      </c>
      <c r="E44" s="3165"/>
      <c r="F44" s="896"/>
      <c r="G44" s="897" t="s">
        <v>1479</v>
      </c>
      <c r="H44" s="2202"/>
      <c r="I44" s="2212"/>
      <c r="J44" s="58"/>
      <c r="K44" s="952">
        <f>K43/25*8.5</f>
        <v>195.07499999999999</v>
      </c>
      <c r="L44" s="587" t="s">
        <v>10</v>
      </c>
      <c r="M44" s="1573">
        <f>'3.XT-C KH'!M54</f>
        <v>0</v>
      </c>
      <c r="N44" s="910" t="s">
        <v>8</v>
      </c>
      <c r="O44" s="1586" t="str">
        <f>IF(M43=0,"",O43/25*8.5)</f>
        <v/>
      </c>
      <c r="P44" s="911" t="s">
        <v>10</v>
      </c>
      <c r="Q44" s="296"/>
      <c r="R44" s="58"/>
      <c r="S44" s="952">
        <f>S43/25*8.5</f>
        <v>195.07499999999999</v>
      </c>
      <c r="T44" s="587" t="s">
        <v>10</v>
      </c>
      <c r="U44" s="1573">
        <f>'3.XT-C KH'!U54</f>
        <v>0</v>
      </c>
      <c r="V44" s="910" t="s">
        <v>8</v>
      </c>
      <c r="W44" s="1586" t="str">
        <f>IF(U43=0,"",W43/25*8.5)</f>
        <v/>
      </c>
      <c r="X44" s="911" t="s">
        <v>10</v>
      </c>
      <c r="Y44" s="296"/>
      <c r="Z44" s="58"/>
      <c r="AA44" s="952">
        <f>AA43/25*8.5</f>
        <v>195.07499999999999</v>
      </c>
      <c r="AB44" s="587" t="s">
        <v>10</v>
      </c>
      <c r="AC44" s="1573">
        <f>'3.XT-C KH'!AC54</f>
        <v>0</v>
      </c>
      <c r="AD44" s="910" t="s">
        <v>8</v>
      </c>
      <c r="AE44" s="1586" t="str">
        <f>IF(AC43=0,"",AE43/25*8.5)</f>
        <v/>
      </c>
      <c r="AF44" s="911" t="s">
        <v>10</v>
      </c>
      <c r="AG44" s="2042"/>
    </row>
    <row r="45" spans="1:33" ht="53.25" customHeight="1">
      <c r="A45" s="3249">
        <v>3</v>
      </c>
      <c r="B45" s="3162" t="s">
        <v>942</v>
      </c>
      <c r="C45" s="3163"/>
      <c r="D45" s="3256" t="s">
        <v>231</v>
      </c>
      <c r="E45" s="3257" t="s">
        <v>231</v>
      </c>
      <c r="F45" s="2884" t="s">
        <v>4</v>
      </c>
      <c r="G45" s="897" t="str">
        <f>'[6]XM.GUI MAIL'!$E$82</f>
        <v>50~70</v>
      </c>
      <c r="H45" s="2202" t="str">
        <f>'XM.FILE GOC'!$F$82</f>
        <v>(60±5)</v>
      </c>
      <c r="I45" s="2212">
        <f>'XM.FILE GOC'!AD82</f>
        <v>0</v>
      </c>
      <c r="J45" s="58" t="s">
        <v>8</v>
      </c>
      <c r="K45" s="586">
        <f>'XM.FILE GOC'!AG82</f>
        <v>492</v>
      </c>
      <c r="L45" s="587" t="s">
        <v>9</v>
      </c>
      <c r="M45" s="1573">
        <f>'3.XT-C KH'!M55</f>
        <v>0</v>
      </c>
      <c r="N45" s="908" t="s">
        <v>8</v>
      </c>
      <c r="O45" s="1588" t="str">
        <f>IF(M45=0,"",('XM.FILE GOC'!$G$82-M45)*8200/1000)</f>
        <v/>
      </c>
      <c r="P45" s="909" t="s">
        <v>9</v>
      </c>
      <c r="Q45" s="296">
        <f>'XM.FILE GOC'!AK82</f>
        <v>0</v>
      </c>
      <c r="R45" s="58" t="s">
        <v>8</v>
      </c>
      <c r="S45" s="586">
        <f>'XM.FILE GOC'!AN82</f>
        <v>492</v>
      </c>
      <c r="T45" s="587" t="s">
        <v>9</v>
      </c>
      <c r="U45" s="1573">
        <f>'3.XT-C KH'!U55</f>
        <v>0</v>
      </c>
      <c r="V45" s="908" t="s">
        <v>8</v>
      </c>
      <c r="W45" s="1588" t="str">
        <f>IF(U45=0,"",('XM.FILE GOC'!$G$82-U45)*8200/1000)</f>
        <v/>
      </c>
      <c r="X45" s="909" t="s">
        <v>9</v>
      </c>
      <c r="Y45" s="296">
        <f>'XM.FILE GOC'!AR82</f>
        <v>0</v>
      </c>
      <c r="Z45" s="58" t="s">
        <v>8</v>
      </c>
      <c r="AA45" s="586">
        <f>'XM.FILE GOC'!AU82</f>
        <v>492</v>
      </c>
      <c r="AB45" s="971" t="s">
        <v>9</v>
      </c>
      <c r="AC45" s="1573">
        <f>'3.XT-C KH'!AC55</f>
        <v>0</v>
      </c>
      <c r="AD45" s="908" t="s">
        <v>8</v>
      </c>
      <c r="AE45" s="1588" t="str">
        <f>IF(AC45=0,"",('XM.FILE GOC'!$G$82-AC45)*8200/1000)</f>
        <v/>
      </c>
      <c r="AF45" s="909" t="s">
        <v>9</v>
      </c>
      <c r="AG45" s="2042" t="s">
        <v>39</v>
      </c>
    </row>
    <row r="46" spans="1:33" ht="53.25" customHeight="1">
      <c r="A46" s="3255"/>
      <c r="B46" s="3163"/>
      <c r="C46" s="3163"/>
      <c r="D46" s="3256" t="s">
        <v>232</v>
      </c>
      <c r="E46" s="3257" t="s">
        <v>232</v>
      </c>
      <c r="F46" s="1004"/>
      <c r="G46" s="897" t="s">
        <v>1261</v>
      </c>
      <c r="H46" s="2202"/>
      <c r="I46" s="2212"/>
      <c r="J46" s="58"/>
      <c r="K46" s="952">
        <f>K45/25*8</f>
        <v>157.44</v>
      </c>
      <c r="L46" s="587" t="s">
        <v>10</v>
      </c>
      <c r="M46" s="1573">
        <f>'3.XT-C KH'!M56</f>
        <v>0</v>
      </c>
      <c r="N46" s="910" t="s">
        <v>8</v>
      </c>
      <c r="O46" s="1586" t="str">
        <f>IF(M45=0,"",O45/25*8)</f>
        <v/>
      </c>
      <c r="P46" s="911" t="s">
        <v>10</v>
      </c>
      <c r="Q46" s="296"/>
      <c r="R46" s="58"/>
      <c r="S46" s="952">
        <f>S45/25*8</f>
        <v>157.44</v>
      </c>
      <c r="T46" s="587" t="s">
        <v>10</v>
      </c>
      <c r="U46" s="1573">
        <f>'3.XT-C KH'!U56</f>
        <v>0</v>
      </c>
      <c r="V46" s="910" t="s">
        <v>8</v>
      </c>
      <c r="W46" s="1586" t="str">
        <f>IF(U45=0,"",W45/25*8)</f>
        <v/>
      </c>
      <c r="X46" s="911" t="s">
        <v>10</v>
      </c>
      <c r="Y46" s="296"/>
      <c r="Z46" s="58"/>
      <c r="AA46" s="952">
        <f>AA45/25*8</f>
        <v>157.44</v>
      </c>
      <c r="AB46" s="587" t="s">
        <v>10</v>
      </c>
      <c r="AC46" s="1573">
        <f>'3.XT-C KH'!AC56</f>
        <v>0</v>
      </c>
      <c r="AD46" s="910" t="s">
        <v>8</v>
      </c>
      <c r="AE46" s="1586" t="str">
        <f>IF(AC45=0,"",AE45/25*8)</f>
        <v/>
      </c>
      <c r="AF46" s="911" t="s">
        <v>10</v>
      </c>
      <c r="AG46" s="2042"/>
    </row>
    <row r="47" spans="1:33" ht="53.25" customHeight="1">
      <c r="A47" s="3249">
        <v>4</v>
      </c>
      <c r="B47" s="3162" t="s">
        <v>943</v>
      </c>
      <c r="C47" s="3163"/>
      <c r="D47" s="3256" t="s">
        <v>231</v>
      </c>
      <c r="E47" s="3257" t="s">
        <v>231</v>
      </c>
      <c r="F47" s="2884" t="s">
        <v>4</v>
      </c>
      <c r="G47" s="897" t="str">
        <f>'[6]XM.GUI MAIL'!$E$84</f>
        <v>50~70</v>
      </c>
      <c r="H47" s="2202" t="str">
        <f>'XM.FILE GOC'!$F$84</f>
        <v>(60±5)</v>
      </c>
      <c r="I47" s="2212">
        <f>'XM.FILE GOC'!AD84</f>
        <v>0</v>
      </c>
      <c r="J47" s="969" t="s">
        <v>8</v>
      </c>
      <c r="K47" s="970">
        <f>'XM.FILE GOC'!AG84</f>
        <v>520.08000000000004</v>
      </c>
      <c r="L47" s="971" t="s">
        <v>9</v>
      </c>
      <c r="M47" s="1573">
        <f>'3.XT-C KH'!M57</f>
        <v>0</v>
      </c>
      <c r="N47" s="908" t="s">
        <v>8</v>
      </c>
      <c r="O47" s="1589" t="str">
        <f>IF(M47=0,"",('XM.FILE GOC'!$G$84-M47)*8668/1000)</f>
        <v/>
      </c>
      <c r="P47" s="909" t="s">
        <v>9</v>
      </c>
      <c r="Q47" s="296">
        <f>'XM.FILE GOC'!AK84</f>
        <v>0</v>
      </c>
      <c r="R47" s="969" t="s">
        <v>8</v>
      </c>
      <c r="S47" s="970">
        <f>'XM.FILE GOC'!AN84</f>
        <v>520.08000000000004</v>
      </c>
      <c r="T47" s="971" t="s">
        <v>9</v>
      </c>
      <c r="U47" s="1573">
        <f>'3.XT-C KH'!U57</f>
        <v>0</v>
      </c>
      <c r="V47" s="908" t="s">
        <v>8</v>
      </c>
      <c r="W47" s="1589" t="str">
        <f>IF(U47=0,"",('XM.FILE GOC'!$G$84-U47)*8668/1000)</f>
        <v/>
      </c>
      <c r="X47" s="909" t="s">
        <v>9</v>
      </c>
      <c r="Y47" s="296">
        <f>'XM.FILE GOC'!AR84</f>
        <v>0</v>
      </c>
      <c r="Z47" s="969" t="s">
        <v>8</v>
      </c>
      <c r="AA47" s="970">
        <f>'XM.FILE GOC'!AU84</f>
        <v>520.08000000000004</v>
      </c>
      <c r="AB47" s="971" t="s">
        <v>9</v>
      </c>
      <c r="AC47" s="1573">
        <f>'3.XT-C KH'!AC57</f>
        <v>0</v>
      </c>
      <c r="AD47" s="908" t="s">
        <v>8</v>
      </c>
      <c r="AE47" s="1589" t="str">
        <f>IF(AC47=0,"",('XM.FILE GOC'!$G$84-AC47)*8668/1000)</f>
        <v/>
      </c>
      <c r="AF47" s="909" t="s">
        <v>9</v>
      </c>
      <c r="AG47" s="2042" t="s">
        <v>39</v>
      </c>
    </row>
    <row r="48" spans="1:33" ht="53.25" customHeight="1">
      <c r="A48" s="3250"/>
      <c r="B48" s="3267"/>
      <c r="C48" s="3267"/>
      <c r="D48" s="3256" t="s">
        <v>232</v>
      </c>
      <c r="E48" s="3257" t="s">
        <v>232</v>
      </c>
      <c r="F48" s="1004"/>
      <c r="G48" s="897" t="s">
        <v>1261</v>
      </c>
      <c r="H48" s="2216"/>
      <c r="I48" s="2213"/>
      <c r="J48" s="1314"/>
      <c r="K48" s="2101">
        <f>K47/25*8</f>
        <v>166.4256</v>
      </c>
      <c r="L48" s="1316" t="s">
        <v>10</v>
      </c>
      <c r="M48" s="2102">
        <f>'3.XT-C KH'!M58</f>
        <v>0</v>
      </c>
      <c r="N48" s="2103" t="s">
        <v>8</v>
      </c>
      <c r="O48" s="2104" t="str">
        <f>IF(M47=0,"",O47/25*8)</f>
        <v/>
      </c>
      <c r="P48" s="2105" t="s">
        <v>10</v>
      </c>
      <c r="Q48" s="2100"/>
      <c r="R48" s="1314"/>
      <c r="S48" s="2101">
        <f>S47/25*8</f>
        <v>166.4256</v>
      </c>
      <c r="T48" s="1316" t="s">
        <v>10</v>
      </c>
      <c r="U48" s="2102">
        <f>'3.XT-C KH'!U58</f>
        <v>0</v>
      </c>
      <c r="V48" s="2103" t="s">
        <v>8</v>
      </c>
      <c r="W48" s="2104" t="str">
        <f>IF(U47=0,"",W47/25*8)</f>
        <v/>
      </c>
      <c r="X48" s="2105" t="s">
        <v>10</v>
      </c>
      <c r="Y48" s="2100"/>
      <c r="Z48" s="1314"/>
      <c r="AA48" s="2101">
        <f>AA47/25*8</f>
        <v>166.4256</v>
      </c>
      <c r="AB48" s="1316" t="s">
        <v>10</v>
      </c>
      <c r="AC48" s="2102">
        <f>'3.XT-C KH'!AC58</f>
        <v>0</v>
      </c>
      <c r="AD48" s="2103" t="s">
        <v>8</v>
      </c>
      <c r="AE48" s="2104" t="str">
        <f>IF(AC47=0,"",AE47/25*8)</f>
        <v/>
      </c>
      <c r="AF48" s="2105" t="s">
        <v>10</v>
      </c>
      <c r="AG48" s="2098"/>
    </row>
    <row r="49" spans="1:38" ht="53.25" customHeight="1">
      <c r="A49" s="3314">
        <v>5</v>
      </c>
      <c r="B49" s="3335" t="s">
        <v>121</v>
      </c>
      <c r="C49" s="3336"/>
      <c r="D49" s="3339" t="s">
        <v>115</v>
      </c>
      <c r="E49" s="3340"/>
      <c r="F49" s="2317" t="s">
        <v>4</v>
      </c>
      <c r="G49" s="2318" t="str">
        <f>'XM.GUI MAIL'!$E$99</f>
        <v>5~6</v>
      </c>
      <c r="H49" s="2319" t="str">
        <f>'XM.GUI MAIL'!$F$99</f>
        <v>(5.5± 0.5)</v>
      </c>
      <c r="I49" s="2285">
        <f>'XM.FILE GOC'!AD99</f>
        <v>0</v>
      </c>
      <c r="J49" s="2286" t="s">
        <v>8</v>
      </c>
      <c r="K49" s="2287">
        <f>'XM.FILE GOC'!AG99</f>
        <v>44</v>
      </c>
      <c r="L49" s="2288" t="s">
        <v>9</v>
      </c>
      <c r="M49" s="2676">
        <f>'3.XT-C KH'!AU51</f>
        <v>0</v>
      </c>
      <c r="N49" s="2320" t="s">
        <v>8</v>
      </c>
      <c r="O49" s="2321" t="str">
        <f>IF(M49=0,"",('XM.FILE GOC'!$G$99-M49)*8000/1000)</f>
        <v/>
      </c>
      <c r="P49" s="2322" t="s">
        <v>9</v>
      </c>
      <c r="Q49" s="2293">
        <f>'XM.FILE GOC'!AK99</f>
        <v>0</v>
      </c>
      <c r="R49" s="2286" t="s">
        <v>8</v>
      </c>
      <c r="S49" s="2287">
        <f>'XM.FILE GOC'!AN99</f>
        <v>44</v>
      </c>
      <c r="T49" s="2288" t="s">
        <v>9</v>
      </c>
      <c r="U49" s="2676">
        <f>'3.XT-C KH'!BC51</f>
        <v>0</v>
      </c>
      <c r="V49" s="2320" t="s">
        <v>8</v>
      </c>
      <c r="W49" s="2321" t="str">
        <f>IF(U49=0,"",('XM.FILE GOC'!$G$99-U49)*8000/1000)</f>
        <v/>
      </c>
      <c r="X49" s="2322" t="s">
        <v>9</v>
      </c>
      <c r="Y49" s="2293">
        <f>'XM.FILE GOC'!AR99</f>
        <v>0</v>
      </c>
      <c r="Z49" s="2286" t="s">
        <v>8</v>
      </c>
      <c r="AA49" s="2287">
        <f>'XM.FILE GOC'!AU99</f>
        <v>44</v>
      </c>
      <c r="AB49" s="2288" t="s">
        <v>9</v>
      </c>
      <c r="AC49" s="2676">
        <f>'3.XT-C KH'!BK51</f>
        <v>0</v>
      </c>
      <c r="AD49" s="2320" t="s">
        <v>8</v>
      </c>
      <c r="AE49" s="2321" t="str">
        <f>IF(AC49=0,"",('XM.FILE GOC'!$G$99-AC49)*8000/1000)</f>
        <v/>
      </c>
      <c r="AF49" s="2322" t="s">
        <v>9</v>
      </c>
      <c r="AG49" s="2294" t="s">
        <v>40</v>
      </c>
    </row>
    <row r="50" spans="1:38" ht="53.25" customHeight="1">
      <c r="A50" s="3315"/>
      <c r="B50" s="3337"/>
      <c r="C50" s="3338"/>
      <c r="D50" s="3341" t="s">
        <v>99</v>
      </c>
      <c r="E50" s="3342"/>
      <c r="F50" s="2049" t="s">
        <v>4</v>
      </c>
      <c r="G50" s="2048" t="str">
        <f>'XM.GUI MAIL'!$E$100</f>
        <v>130~140</v>
      </c>
      <c r="H50" s="2217" t="str">
        <f>'XM.GUI MAIL'!$F$100</f>
        <v>(135 ± 5)</v>
      </c>
      <c r="I50" s="2214">
        <f>'XM.FILE GOC'!AD100</f>
        <v>0</v>
      </c>
      <c r="J50" s="969" t="s">
        <v>8</v>
      </c>
      <c r="K50" s="970">
        <f>'XM.FILE GOC'!AG100</f>
        <v>1080</v>
      </c>
      <c r="L50" s="971" t="s">
        <v>9</v>
      </c>
      <c r="M50" s="1573">
        <f>'3.XT-C KH'!AU52</f>
        <v>0</v>
      </c>
      <c r="N50" s="908" t="s">
        <v>8</v>
      </c>
      <c r="O50" s="1589" t="str">
        <f>IF(M50=0,"",('XM.FILE GOC'!$G$100-M50)*8000/1000)</f>
        <v/>
      </c>
      <c r="P50" s="909" t="s">
        <v>9</v>
      </c>
      <c r="Q50" s="1775">
        <f>'XM.FILE GOC'!AK100</f>
        <v>0</v>
      </c>
      <c r="R50" s="969" t="s">
        <v>8</v>
      </c>
      <c r="S50" s="970">
        <f>'XM.FILE GOC'!AN100</f>
        <v>1080</v>
      </c>
      <c r="T50" s="971" t="s">
        <v>9</v>
      </c>
      <c r="U50" s="1573">
        <f>'3.XT-C KH'!BC52</f>
        <v>0</v>
      </c>
      <c r="V50" s="908" t="s">
        <v>8</v>
      </c>
      <c r="W50" s="1589" t="str">
        <f>IF(U50=0,"",('XM.FILE GOC'!$G$100-U50)*8000/1000)</f>
        <v/>
      </c>
      <c r="X50" s="909" t="s">
        <v>9</v>
      </c>
      <c r="Y50" s="1775">
        <f>'XM.FILE GOC'!AR100</f>
        <v>0</v>
      </c>
      <c r="Z50" s="969" t="s">
        <v>8</v>
      </c>
      <c r="AA50" s="970">
        <f>'XM.FILE GOC'!AU100</f>
        <v>1080</v>
      </c>
      <c r="AB50" s="909" t="s">
        <v>9</v>
      </c>
      <c r="AC50" s="1573">
        <f>'3.XT-C KH'!BK52</f>
        <v>0</v>
      </c>
      <c r="AD50" s="908" t="s">
        <v>8</v>
      </c>
      <c r="AE50" s="1589" t="str">
        <f>IF(AC50=0,"",('XM.FILE GOC'!$G$100-AC50)*8000/1000)</f>
        <v/>
      </c>
      <c r="AF50" s="909" t="s">
        <v>9</v>
      </c>
      <c r="AG50" s="2323" t="s">
        <v>41</v>
      </c>
    </row>
    <row r="51" spans="1:38" s="7" customFormat="1" ht="53.25" customHeight="1">
      <c r="A51" s="2815">
        <v>6</v>
      </c>
      <c r="B51" s="3332" t="s">
        <v>122</v>
      </c>
      <c r="C51" s="3333"/>
      <c r="D51" s="3333"/>
      <c r="E51" s="3334"/>
      <c r="F51" s="2324" t="s">
        <v>5</v>
      </c>
      <c r="G51" s="2325" t="str">
        <f>'XM.GUI MAIL'!$E$101</f>
        <v>3.0-4.5</v>
      </c>
      <c r="H51" s="2326" t="str">
        <f>'XM.GUI MAIL'!$F$101</f>
        <v>(4.3±0.2)</v>
      </c>
      <c r="I51" s="2298">
        <f>'XM.FILE GOC'!AD101</f>
        <v>0</v>
      </c>
      <c r="J51" s="2307"/>
      <c r="K51" s="2308"/>
      <c r="L51" s="2309"/>
      <c r="M51" s="1573"/>
      <c r="N51" s="910"/>
      <c r="O51" s="1588"/>
      <c r="P51" s="911"/>
      <c r="Q51" s="2306">
        <f>'XM.FILE GOC'!AK101</f>
        <v>0</v>
      </c>
      <c r="R51" s="2307"/>
      <c r="S51" s="2308"/>
      <c r="T51" s="2309"/>
      <c r="U51" s="1573"/>
      <c r="V51" s="910"/>
      <c r="W51" s="1588"/>
      <c r="X51" s="911"/>
      <c r="Y51" s="2306">
        <f>'XM.FILE GOC'!AR101</f>
        <v>0</v>
      </c>
      <c r="Z51" s="2307"/>
      <c r="AA51" s="2308"/>
      <c r="AB51" s="2799"/>
      <c r="AC51" s="1573"/>
      <c r="AD51" s="910"/>
      <c r="AE51" s="1588"/>
      <c r="AF51" s="911"/>
      <c r="AG51" s="2323" t="s">
        <v>42</v>
      </c>
      <c r="AH51" s="8"/>
      <c r="AI51" s="8"/>
      <c r="AJ51" s="8"/>
      <c r="AK51" s="8"/>
      <c r="AL51" s="8"/>
    </row>
    <row r="52" spans="1:38" s="7" customFormat="1" ht="53.25" customHeight="1">
      <c r="A52" s="2816">
        <v>7</v>
      </c>
      <c r="B52" s="3332" t="s">
        <v>1632</v>
      </c>
      <c r="C52" s="3333"/>
      <c r="D52" s="3333"/>
      <c r="E52" s="3334"/>
      <c r="F52" s="2324" t="s">
        <v>54</v>
      </c>
      <c r="G52" s="2325">
        <f>'XM.GUI MAIL'!$E$102</f>
        <v>0</v>
      </c>
      <c r="H52" s="2326">
        <f>'XM.GUI MAIL'!$F$102</f>
        <v>0</v>
      </c>
      <c r="I52" s="2824">
        <f>'XM.FILE GOC'!I137</f>
        <v>0</v>
      </c>
      <c r="J52" s="2307" t="s">
        <v>8</v>
      </c>
      <c r="K52" s="2308">
        <f>'XM.FILE GOC'!L137</f>
        <v>0</v>
      </c>
      <c r="L52" s="2309" t="s">
        <v>9</v>
      </c>
      <c r="M52" s="2818">
        <f>'3.XT-C KH'!AU46</f>
        <v>0</v>
      </c>
      <c r="N52" s="2819" t="s">
        <v>8</v>
      </c>
      <c r="O52" s="2820" t="str">
        <f>IF(M52=0,"",('XM.FILE GOC'!$G$102-M52)*3360/1000)</f>
        <v/>
      </c>
      <c r="P52" s="2821" t="s">
        <v>9</v>
      </c>
      <c r="Q52" s="2831">
        <f>'XM.FILE GOC'!P137</f>
        <v>0</v>
      </c>
      <c r="R52" s="2839" t="s">
        <v>8</v>
      </c>
      <c r="S52" s="2840">
        <f>'XM.FILE GOC'!S137</f>
        <v>0</v>
      </c>
      <c r="T52" s="2841" t="s">
        <v>9</v>
      </c>
      <c r="U52" s="2835">
        <f>'3.XT-C KH'!BC46</f>
        <v>0</v>
      </c>
      <c r="V52" s="2836" t="s">
        <v>8</v>
      </c>
      <c r="W52" s="2837" t="str">
        <f>IF(U52=0,"",('XM.FILE GOC'!$G$102-U52)*3360/1000)</f>
        <v/>
      </c>
      <c r="X52" s="2838" t="s">
        <v>9</v>
      </c>
      <c r="Y52" s="2831">
        <f>'XM.FILE GOC'!W137</f>
        <v>0</v>
      </c>
      <c r="Z52" s="2839" t="s">
        <v>8</v>
      </c>
      <c r="AA52" s="2840">
        <f>'XM.FILE GOC'!Z137</f>
        <v>0</v>
      </c>
      <c r="AB52" s="2838" t="s">
        <v>9</v>
      </c>
      <c r="AC52" s="2835">
        <f>'3.XT-C KH'!BK46</f>
        <v>0</v>
      </c>
      <c r="AD52" s="2836" t="s">
        <v>8</v>
      </c>
      <c r="AE52" s="2837" t="str">
        <f>IF(AC52=0,"",('XM.FILE GOC'!$G$102-AC52)*3360/1000)</f>
        <v/>
      </c>
      <c r="AF52" s="2838" t="s">
        <v>9</v>
      </c>
      <c r="AG52" s="2817"/>
      <c r="AH52" s="8"/>
      <c r="AI52" s="8"/>
      <c r="AJ52" s="8"/>
      <c r="AK52" s="8"/>
      <c r="AL52" s="8"/>
    </row>
    <row r="53" spans="1:38" s="7" customFormat="1" ht="53.25" customHeight="1">
      <c r="A53" s="2810">
        <v>8</v>
      </c>
      <c r="B53" s="3317" t="s">
        <v>81</v>
      </c>
      <c r="C53" s="3318"/>
      <c r="D53" s="3318"/>
      <c r="E53" s="3319"/>
      <c r="F53" s="2811" t="s">
        <v>6</v>
      </c>
      <c r="G53" s="1579" t="str">
        <f>'XM.FILE GOC'!$E$90</f>
        <v>40~50</v>
      </c>
      <c r="H53" s="2218" t="str">
        <f>'XM.FILE GOC'!$F$90</f>
        <v>(45±5)</v>
      </c>
      <c r="I53" s="2812">
        <f>'XM.FILE GOC'!AD90</f>
        <v>0</v>
      </c>
      <c r="J53" s="2106" t="s">
        <v>8</v>
      </c>
      <c r="K53" s="2107">
        <f>'XM.FILE GOC'!AG90</f>
        <v>1455.3</v>
      </c>
      <c r="L53" s="2108" t="s">
        <v>10</v>
      </c>
      <c r="M53" s="2813">
        <f>IF(I53&gt;44.99%,"",'3.XT-C KH'!M63)</f>
        <v>0</v>
      </c>
      <c r="N53" s="2280" t="s">
        <v>8</v>
      </c>
      <c r="O53" s="2814">
        <f>IF(M53="","",('XM.FILE GOC'!$G$90-M53)*3234)</f>
        <v>1455.3</v>
      </c>
      <c r="P53" s="2281" t="s">
        <v>10</v>
      </c>
      <c r="Q53" s="2812">
        <f>'XM.FILE GOC'!AK90</f>
        <v>0</v>
      </c>
      <c r="R53" s="2106" t="s">
        <v>8</v>
      </c>
      <c r="S53" s="2107">
        <f>'XM.FILE GOC'!AN90</f>
        <v>1455.3</v>
      </c>
      <c r="T53" s="2108" t="s">
        <v>10</v>
      </c>
      <c r="U53" s="2813">
        <f>IF(Q53&gt;44.99%,"",'3.XT-C KH'!U63)</f>
        <v>0</v>
      </c>
      <c r="V53" s="2280" t="s">
        <v>8</v>
      </c>
      <c r="W53" s="2814">
        <f>IF(U53="","",('XM.FILE GOC'!$G$90-U53)*3234)</f>
        <v>1455.3</v>
      </c>
      <c r="X53" s="2281" t="s">
        <v>10</v>
      </c>
      <c r="Y53" s="2812">
        <f>'XM.FILE GOC'!AR90</f>
        <v>0</v>
      </c>
      <c r="Z53" s="2106" t="s">
        <v>8</v>
      </c>
      <c r="AA53" s="2107">
        <f>'XM.FILE GOC'!AU90</f>
        <v>1455.3</v>
      </c>
      <c r="AB53" s="2108" t="s">
        <v>10</v>
      </c>
      <c r="AC53" s="2813">
        <f>IF(Y53&gt;44.99%,"",'3.XT-C KH'!AC63)</f>
        <v>0</v>
      </c>
      <c r="AD53" s="2280" t="s">
        <v>8</v>
      </c>
      <c r="AE53" s="2814">
        <f>IF(AC53="","",('XM.FILE GOC'!$G$90-AC53)*3234)</f>
        <v>1455.3</v>
      </c>
      <c r="AF53" s="2281" t="s">
        <v>10</v>
      </c>
      <c r="AG53" s="2659"/>
      <c r="AH53" s="8"/>
      <c r="AI53" s="8"/>
      <c r="AJ53" s="8"/>
      <c r="AK53" s="8"/>
      <c r="AL53" s="8"/>
    </row>
    <row r="54" spans="1:38" ht="45" customHeight="1">
      <c r="A54" s="2043">
        <v>9</v>
      </c>
      <c r="B54" s="3239" t="s">
        <v>1583</v>
      </c>
      <c r="C54" s="3240"/>
      <c r="D54" s="3240"/>
      <c r="E54" s="3241"/>
      <c r="F54" s="632" t="s">
        <v>6</v>
      </c>
      <c r="G54" s="897" t="str">
        <f>'XM.FILE GOC'!$E$91</f>
        <v>10~20</v>
      </c>
      <c r="H54" s="2202" t="str">
        <f>'XM.FILE GOC'!$F$91</f>
        <v>(15±5)</v>
      </c>
      <c r="I54" s="2714">
        <f>'XM.FILE GOC'!AD91</f>
        <v>0</v>
      </c>
      <c r="J54" s="969" t="s">
        <v>8</v>
      </c>
      <c r="K54" s="970">
        <f>'XM.FILE GOC'!AG91</f>
        <v>504.15</v>
      </c>
      <c r="L54" s="971" t="s">
        <v>10</v>
      </c>
      <c r="M54" s="914">
        <f>IF(I54&gt;7.99%,"",'3.XT-C KH'!M64)</f>
        <v>0</v>
      </c>
      <c r="N54" s="908" t="s">
        <v>8</v>
      </c>
      <c r="O54" s="1588">
        <f>IF(M54="","",('XM.FILE GOC'!$G$91-M54)*3361)</f>
        <v>504.15</v>
      </c>
      <c r="P54" s="909" t="s">
        <v>10</v>
      </c>
      <c r="Q54" s="2714">
        <f>'XM.FILE GOC'!AK91</f>
        <v>0</v>
      </c>
      <c r="R54" s="969" t="s">
        <v>8</v>
      </c>
      <c r="S54" s="970">
        <f>'XM.FILE GOC'!AN91</f>
        <v>504.15</v>
      </c>
      <c r="T54" s="971" t="s">
        <v>10</v>
      </c>
      <c r="U54" s="914">
        <f>IF(Q54&gt;7.99%,"",'3.XT-C KH'!U64)</f>
        <v>0</v>
      </c>
      <c r="V54" s="908" t="s">
        <v>8</v>
      </c>
      <c r="W54" s="1588">
        <f>IF(U54="","",('XM.FILE GOC'!$G$91-U54)*3361)</f>
        <v>504.15</v>
      </c>
      <c r="X54" s="909" t="s">
        <v>10</v>
      </c>
      <c r="Y54" s="2714">
        <f>'XM.FILE GOC'!AR91</f>
        <v>0</v>
      </c>
      <c r="Z54" s="2106" t="s">
        <v>8</v>
      </c>
      <c r="AA54" s="2107">
        <f>'XM.FILE GOC'!AU91</f>
        <v>504.15</v>
      </c>
      <c r="AB54" s="2108" t="s">
        <v>10</v>
      </c>
      <c r="AC54" s="914">
        <f>IF(Y54&gt;7.99%,"",'3.XT-C KH'!AC64)</f>
        <v>0</v>
      </c>
      <c r="AD54" s="2280" t="s">
        <v>8</v>
      </c>
      <c r="AE54" s="1588">
        <f>IF(AC54="","",('XM.FILE GOC'!$G$91-AC54)*3361)</f>
        <v>504.15</v>
      </c>
      <c r="AF54" s="2281" t="s">
        <v>10</v>
      </c>
      <c r="AG54" s="2099" t="s">
        <v>43</v>
      </c>
    </row>
    <row r="55" spans="1:38" ht="53.25" customHeight="1">
      <c r="A55" s="2447">
        <v>10</v>
      </c>
      <c r="B55" s="3239" t="s">
        <v>1584</v>
      </c>
      <c r="C55" s="3240"/>
      <c r="D55" s="3240"/>
      <c r="E55" s="3241"/>
      <c r="F55" s="632" t="s">
        <v>6</v>
      </c>
      <c r="G55" s="897" t="str">
        <f>'XM.FILE GOC'!$E$92</f>
        <v>40~50</v>
      </c>
      <c r="H55" s="2202" t="str">
        <f>'XM.FILE GOC'!$F$92</f>
        <v>(45±5)</v>
      </c>
      <c r="I55" s="1747">
        <f>'XM.FILE GOC'!AD92</f>
        <v>0</v>
      </c>
      <c r="J55" s="969" t="s">
        <v>8</v>
      </c>
      <c r="K55" s="970">
        <f>'XM.FILE GOC'!AG92</f>
        <v>1512.45</v>
      </c>
      <c r="L55" s="971" t="s">
        <v>10</v>
      </c>
      <c r="M55" s="914">
        <f>IF(I55&gt;44.99%,"",'3.XT-C KH'!M65)</f>
        <v>0</v>
      </c>
      <c r="N55" s="908" t="s">
        <v>8</v>
      </c>
      <c r="O55" s="1588">
        <f>IF(M55="","",('XM.FILE GOC'!$G$92-M55)*3361)</f>
        <v>1512.45</v>
      </c>
      <c r="P55" s="909" t="s">
        <v>10</v>
      </c>
      <c r="Q55" s="1747">
        <f>'XM.FILE GOC'!AK92</f>
        <v>0</v>
      </c>
      <c r="R55" s="969" t="s">
        <v>8</v>
      </c>
      <c r="S55" s="970">
        <f>'XM.FILE GOC'!AN92</f>
        <v>1512.45</v>
      </c>
      <c r="T55" s="971" t="s">
        <v>10</v>
      </c>
      <c r="U55" s="914">
        <f>IF(Q55&gt;44.99%,"",'3.XT-C KH'!U65)</f>
        <v>0</v>
      </c>
      <c r="V55" s="908" t="s">
        <v>8</v>
      </c>
      <c r="W55" s="1588">
        <f>IF(U55="","",('XM.FILE GOC'!$G$92-U55)*3361)</f>
        <v>1512.45</v>
      </c>
      <c r="X55" s="909" t="s">
        <v>10</v>
      </c>
      <c r="Y55" s="1747">
        <f>'XM.FILE GOC'!AR92</f>
        <v>0</v>
      </c>
      <c r="Z55" s="2106" t="s">
        <v>8</v>
      </c>
      <c r="AA55" s="2107">
        <f>'XM.FILE GOC'!AU92</f>
        <v>1512.45</v>
      </c>
      <c r="AB55" s="2108" t="s">
        <v>10</v>
      </c>
      <c r="AC55" s="914">
        <f>IF(Y55&gt;44.99%,"",'3.XT-C KH'!AC65)</f>
        <v>0</v>
      </c>
      <c r="AD55" s="2280" t="s">
        <v>8</v>
      </c>
      <c r="AE55" s="1588">
        <f>IF(AC55="","",('XM.FILE GOC'!$G$92-AC55)*3361)</f>
        <v>1512.45</v>
      </c>
      <c r="AF55" s="2281" t="s">
        <v>10</v>
      </c>
      <c r="AG55" s="2451"/>
    </row>
    <row r="56" spans="1:38" ht="53.25" customHeight="1">
      <c r="A56" s="2043">
        <v>11</v>
      </c>
      <c r="B56" s="3236" t="s">
        <v>1585</v>
      </c>
      <c r="C56" s="3237"/>
      <c r="D56" s="3237"/>
      <c r="E56" s="3238"/>
      <c r="F56" s="632" t="s">
        <v>6</v>
      </c>
      <c r="G56" s="897" t="str">
        <f>'XM.FILE GOC'!$E$93</f>
        <v>40~50</v>
      </c>
      <c r="H56" s="2202" t="str">
        <f>'XM.FILE GOC'!$F$93</f>
        <v>(45±5)</v>
      </c>
      <c r="I56" s="1747">
        <f>'XM.FILE GOC'!AD93</f>
        <v>0</v>
      </c>
      <c r="J56" s="969" t="s">
        <v>8</v>
      </c>
      <c r="K56" s="970">
        <f>'XM.FILE GOC'!AG93</f>
        <v>4729.05</v>
      </c>
      <c r="L56" s="971" t="s">
        <v>10</v>
      </c>
      <c r="M56" s="914">
        <f>IF(I56&gt;44.99%,"",'3.XT-C KH'!M66)</f>
        <v>0</v>
      </c>
      <c r="N56" s="910" t="s">
        <v>8</v>
      </c>
      <c r="O56" s="1588">
        <f>IF(M56="","",('XM.FILE GOC'!$G$93-M56)*10509)</f>
        <v>4729.05</v>
      </c>
      <c r="P56" s="911" t="s">
        <v>10</v>
      </c>
      <c r="Q56" s="1747">
        <f>'XM.FILE GOC'!AK93</f>
        <v>0</v>
      </c>
      <c r="R56" s="969" t="s">
        <v>8</v>
      </c>
      <c r="S56" s="970">
        <f>'XM.FILE GOC'!AN93</f>
        <v>4729.05</v>
      </c>
      <c r="T56" s="971" t="s">
        <v>10</v>
      </c>
      <c r="U56" s="914">
        <f>IF(Q56&gt;44.99%,"",'3.XT-C KH'!U66)</f>
        <v>0</v>
      </c>
      <c r="V56" s="910" t="s">
        <v>8</v>
      </c>
      <c r="W56" s="1588">
        <f>IF(U56="","",('XM.FILE GOC'!$G$93-U56)*10509)</f>
        <v>4729.05</v>
      </c>
      <c r="X56" s="911" t="s">
        <v>10</v>
      </c>
      <c r="Y56" s="1747">
        <f>'XM.FILE GOC'!AR93</f>
        <v>0</v>
      </c>
      <c r="Z56" s="969" t="s">
        <v>8</v>
      </c>
      <c r="AA56" s="970">
        <f>'XM.FILE GOC'!AU93</f>
        <v>4729.05</v>
      </c>
      <c r="AB56" s="971" t="s">
        <v>10</v>
      </c>
      <c r="AC56" s="914">
        <f>IF(Y56&gt;44.99%,"",'3.XT-C KH'!AC66)</f>
        <v>0</v>
      </c>
      <c r="AD56" s="910" t="s">
        <v>8</v>
      </c>
      <c r="AE56" s="1588">
        <f>IF(AC56="","",('XM.FILE GOC'!$G$93-AC56)*10509)</f>
        <v>4729.05</v>
      </c>
      <c r="AF56" s="911" t="s">
        <v>10</v>
      </c>
      <c r="AG56" s="68" t="s">
        <v>43</v>
      </c>
    </row>
    <row r="57" spans="1:38" ht="53.25" customHeight="1">
      <c r="A57" s="2043">
        <v>12</v>
      </c>
      <c r="B57" s="3264" t="s">
        <v>947</v>
      </c>
      <c r="C57" s="3265" t="s">
        <v>947</v>
      </c>
      <c r="D57" s="3265" t="s">
        <v>947</v>
      </c>
      <c r="E57" s="3266" t="s">
        <v>947</v>
      </c>
      <c r="F57" s="632" t="s">
        <v>6</v>
      </c>
      <c r="G57" s="897" t="str">
        <f>'XM.FILE GOC'!$E$94</f>
        <v>0.5~1.0</v>
      </c>
      <c r="H57" s="2202" t="str">
        <f>'XM.FILE GOC'!$F$94</f>
        <v>(0.7±0.1)</v>
      </c>
      <c r="I57" s="2215">
        <f>'XM.FILE GOC'!AD94</f>
        <v>0</v>
      </c>
      <c r="J57" s="969" t="s">
        <v>8</v>
      </c>
      <c r="K57" s="973">
        <f>'XM.FILE GOC'!AG94</f>
        <v>20.026490066225165</v>
      </c>
      <c r="L57" s="974" t="s">
        <v>10</v>
      </c>
      <c r="M57" s="1572">
        <f>IF(I57&gt;0.99%,"",'3.XT-C KH'!M67)</f>
        <v>0</v>
      </c>
      <c r="N57" s="946" t="s">
        <v>8</v>
      </c>
      <c r="O57" s="1590">
        <f>IF(M57="","",('XM.FILE GOC'!$G$94-M57)*2808)</f>
        <v>19.655999999999999</v>
      </c>
      <c r="P57" s="916" t="s">
        <v>10</v>
      </c>
      <c r="Q57" s="301">
        <f>'XM.FILE GOC'!AK94</f>
        <v>0</v>
      </c>
      <c r="R57" s="969" t="s">
        <v>8</v>
      </c>
      <c r="S57" s="973">
        <f>'XM.FILE GOC'!AN94</f>
        <v>20.026490066225165</v>
      </c>
      <c r="T57" s="974" t="s">
        <v>10</v>
      </c>
      <c r="U57" s="1572">
        <f>IF(Q57&gt;0.99%,"",'3.XT-C KH'!U67)</f>
        <v>0</v>
      </c>
      <c r="V57" s="946" t="s">
        <v>8</v>
      </c>
      <c r="W57" s="1590">
        <f>IF(U57="","",('XM.FILE GOC'!$G$94-U57)*2808)</f>
        <v>19.655999999999999</v>
      </c>
      <c r="X57" s="916" t="s">
        <v>10</v>
      </c>
      <c r="Y57" s="301">
        <f>'XM.FILE GOC'!AR94</f>
        <v>0</v>
      </c>
      <c r="Z57" s="969" t="s">
        <v>8</v>
      </c>
      <c r="AA57" s="973">
        <f>'XM.FILE GOC'!AU94</f>
        <v>20.026490066225165</v>
      </c>
      <c r="AB57" s="974" t="s">
        <v>10</v>
      </c>
      <c r="AC57" s="1572">
        <f>IF(Y57&gt;0.99%,"",'3.XT-C KH'!AC67)</f>
        <v>0</v>
      </c>
      <c r="AD57" s="946" t="s">
        <v>8</v>
      </c>
      <c r="AE57" s="1590">
        <f>IF(AC57="","",('XM.FILE GOC'!$G$94-AC57)*2808)</f>
        <v>19.655999999999999</v>
      </c>
      <c r="AF57" s="916" t="s">
        <v>10</v>
      </c>
      <c r="AG57" s="2042" t="s">
        <v>44</v>
      </c>
    </row>
    <row r="58" spans="1:38" ht="48.75" customHeight="1">
      <c r="A58" s="2043"/>
      <c r="B58" s="2421" t="s">
        <v>1298</v>
      </c>
      <c r="C58" s="2422"/>
      <c r="D58" s="2422"/>
      <c r="E58" s="2422"/>
      <c r="F58" s="2422"/>
      <c r="G58" s="2422"/>
      <c r="H58" s="2422"/>
      <c r="I58" s="2422"/>
      <c r="J58" s="2422"/>
      <c r="K58" s="2422"/>
      <c r="L58" s="2422"/>
      <c r="M58" s="2422"/>
      <c r="N58" s="2422"/>
      <c r="O58" s="2422"/>
      <c r="P58" s="2422"/>
      <c r="Q58" s="2422"/>
      <c r="R58" s="2422"/>
      <c r="S58" s="2422"/>
      <c r="T58" s="2422"/>
      <c r="U58" s="2422"/>
      <c r="V58" s="2422"/>
      <c r="W58" s="2422"/>
      <c r="X58" s="2422"/>
      <c r="Y58" s="2422"/>
      <c r="Z58" s="2422"/>
      <c r="AA58" s="2422"/>
      <c r="AB58" s="2422"/>
      <c r="AC58" s="2422"/>
      <c r="AD58" s="2422"/>
      <c r="AE58" s="2422"/>
      <c r="AF58" s="2422"/>
      <c r="AG58" s="2423"/>
    </row>
    <row r="59" spans="1:38" ht="57" customHeight="1">
      <c r="A59" s="2043" t="s">
        <v>7</v>
      </c>
      <c r="B59" s="3310" t="s">
        <v>948</v>
      </c>
      <c r="C59" s="3311"/>
      <c r="D59" s="3311"/>
      <c r="E59" s="3312"/>
      <c r="F59" s="975" t="s">
        <v>949</v>
      </c>
      <c r="G59" s="975" t="s">
        <v>1296</v>
      </c>
      <c r="H59" s="2204" t="s">
        <v>1289</v>
      </c>
      <c r="I59" s="3227" t="s">
        <v>950</v>
      </c>
      <c r="J59" s="3228"/>
      <c r="K59" s="3229" t="s">
        <v>951</v>
      </c>
      <c r="L59" s="3228"/>
      <c r="M59" s="917"/>
      <c r="N59" s="918"/>
      <c r="O59" s="918"/>
      <c r="P59" s="919"/>
      <c r="Q59" s="3229" t="s">
        <v>950</v>
      </c>
      <c r="R59" s="3228"/>
      <c r="S59" s="3229" t="s">
        <v>951</v>
      </c>
      <c r="T59" s="3228"/>
      <c r="U59" s="917"/>
      <c r="V59" s="918"/>
      <c r="W59" s="918"/>
      <c r="X59" s="919"/>
      <c r="Y59" s="3229" t="s">
        <v>950</v>
      </c>
      <c r="Z59" s="3228"/>
      <c r="AA59" s="3229" t="s">
        <v>951</v>
      </c>
      <c r="AB59" s="3228"/>
      <c r="AC59" s="917"/>
      <c r="AD59" s="918"/>
      <c r="AE59" s="918"/>
      <c r="AF59" s="919"/>
      <c r="AG59" s="10"/>
    </row>
    <row r="60" spans="1:38" ht="54" customHeight="1">
      <c r="A60" s="2043">
        <v>1</v>
      </c>
      <c r="B60" s="3310" t="s">
        <v>952</v>
      </c>
      <c r="C60" s="3311"/>
      <c r="D60" s="3311"/>
      <c r="E60" s="3312"/>
      <c r="F60" s="976" t="s">
        <v>953</v>
      </c>
      <c r="G60" s="897" t="str">
        <f>'XM.FILE GOC'!$E$105</f>
        <v>50~70</v>
      </c>
      <c r="H60" s="2202" t="str">
        <f>'XM.FILE GOC'!$F$105</f>
        <v>(60±5)</v>
      </c>
      <c r="I60" s="3195">
        <f>'3.XT-C KH'!I74</f>
        <v>0</v>
      </c>
      <c r="J60" s="3121"/>
      <c r="K60" s="3121">
        <f>'3.XT-C KH'!K74</f>
        <v>0</v>
      </c>
      <c r="L60" s="3121"/>
      <c r="M60" s="920"/>
      <c r="N60" s="921"/>
      <c r="O60" s="921"/>
      <c r="P60" s="922"/>
      <c r="Q60" s="3121">
        <f>'3.XT-C KH'!Q74</f>
        <v>0</v>
      </c>
      <c r="R60" s="3121"/>
      <c r="S60" s="3121">
        <f>'3.XT-C KH'!S74:T74</f>
        <v>0</v>
      </c>
      <c r="T60" s="3121"/>
      <c r="U60" s="920"/>
      <c r="V60" s="921"/>
      <c r="W60" s="921"/>
      <c r="X60" s="922"/>
      <c r="Y60" s="3121">
        <f>'3.XT-C KH'!Y74</f>
        <v>0</v>
      </c>
      <c r="Z60" s="3121"/>
      <c r="AA60" s="3121">
        <f>'3.XT-C KH'!AA74</f>
        <v>0</v>
      </c>
      <c r="AB60" s="3121"/>
      <c r="AC60" s="920"/>
      <c r="AD60" s="921"/>
      <c r="AE60" s="921"/>
      <c r="AF60" s="922"/>
      <c r="AG60" s="2044"/>
    </row>
    <row r="61" spans="1:38" ht="54" customHeight="1">
      <c r="A61" s="2043">
        <v>2</v>
      </c>
      <c r="B61" s="3310" t="s">
        <v>954</v>
      </c>
      <c r="C61" s="3311"/>
      <c r="D61" s="3311"/>
      <c r="E61" s="3312"/>
      <c r="F61" s="976" t="s">
        <v>953</v>
      </c>
      <c r="G61" s="897" t="str">
        <f>'XM.FILE GOC'!$E$106</f>
        <v>50~70</v>
      </c>
      <c r="H61" s="2202" t="str">
        <f>'XM.FILE GOC'!$F$106</f>
        <v>(60±5)</v>
      </c>
      <c r="I61" s="3195">
        <f>'3.XT-C KH'!I75</f>
        <v>0</v>
      </c>
      <c r="J61" s="3121"/>
      <c r="K61" s="3121">
        <f>'3.XT-C KH'!K75</f>
        <v>0</v>
      </c>
      <c r="L61" s="3121"/>
      <c r="M61" s="920"/>
      <c r="N61" s="921"/>
      <c r="O61" s="921"/>
      <c r="P61" s="922"/>
      <c r="Q61" s="3121">
        <f>'3.XT-C KH'!Q75</f>
        <v>0</v>
      </c>
      <c r="R61" s="3121"/>
      <c r="S61" s="3121">
        <f>'3.XT-C KH'!S75:T75</f>
        <v>0</v>
      </c>
      <c r="T61" s="3121"/>
      <c r="U61" s="920"/>
      <c r="V61" s="921"/>
      <c r="W61" s="921"/>
      <c r="X61" s="922"/>
      <c r="Y61" s="3121">
        <f>'3.XT-C KH'!Y75</f>
        <v>0</v>
      </c>
      <c r="Z61" s="3121"/>
      <c r="AA61" s="3121">
        <f>'3.XT-C KH'!AA75</f>
        <v>0</v>
      </c>
      <c r="AB61" s="3121"/>
      <c r="AC61" s="920"/>
      <c r="AD61" s="921"/>
      <c r="AE61" s="921"/>
      <c r="AF61" s="922"/>
      <c r="AG61" s="2044"/>
    </row>
    <row r="62" spans="1:38" ht="54" customHeight="1">
      <c r="A62" s="2043">
        <v>3</v>
      </c>
      <c r="B62" s="3310" t="s">
        <v>955</v>
      </c>
      <c r="C62" s="3311"/>
      <c r="D62" s="3311"/>
      <c r="E62" s="3312"/>
      <c r="F62" s="976" t="s">
        <v>953</v>
      </c>
      <c r="G62" s="897" t="str">
        <f>'XM.FILE GOC'!$E$107</f>
        <v>50~70</v>
      </c>
      <c r="H62" s="2202" t="str">
        <f>'XM.FILE GOC'!$F$107</f>
        <v>(60±5)</v>
      </c>
      <c r="I62" s="3195">
        <f>'3.XT-C KH'!I76</f>
        <v>0</v>
      </c>
      <c r="J62" s="3121"/>
      <c r="K62" s="3121">
        <f>'3.XT-C KH'!K76</f>
        <v>0</v>
      </c>
      <c r="L62" s="3121"/>
      <c r="M62" s="920"/>
      <c r="N62" s="921"/>
      <c r="O62" s="921"/>
      <c r="P62" s="922"/>
      <c r="Q62" s="3121">
        <f>'3.XT-C KH'!Q76</f>
        <v>0</v>
      </c>
      <c r="R62" s="3121"/>
      <c r="S62" s="3121">
        <f>'3.XT-C KH'!S76:T76</f>
        <v>0</v>
      </c>
      <c r="T62" s="3121"/>
      <c r="U62" s="920"/>
      <c r="V62" s="921"/>
      <c r="W62" s="921"/>
      <c r="X62" s="922"/>
      <c r="Y62" s="3121">
        <f>'3.XT-C KH'!Y76</f>
        <v>0</v>
      </c>
      <c r="Z62" s="3121"/>
      <c r="AA62" s="3121">
        <f>'3.XT-C KH'!AA76</f>
        <v>0</v>
      </c>
      <c r="AB62" s="3121"/>
      <c r="AC62" s="920"/>
      <c r="AD62" s="921"/>
      <c r="AE62" s="921"/>
      <c r="AF62" s="922"/>
      <c r="AG62" s="2044"/>
    </row>
    <row r="63" spans="1:38" ht="54" customHeight="1">
      <c r="A63" s="2043">
        <v>4</v>
      </c>
      <c r="B63" s="3310" t="s">
        <v>956</v>
      </c>
      <c r="C63" s="3311"/>
      <c r="D63" s="3311"/>
      <c r="E63" s="3312"/>
      <c r="F63" s="976" t="s">
        <v>953</v>
      </c>
      <c r="G63" s="897" t="str">
        <f>'XM.FILE GOC'!$E$108</f>
        <v>50~70</v>
      </c>
      <c r="H63" s="2202" t="str">
        <f>'XM.FILE GOC'!$F$108</f>
        <v>(60±5)</v>
      </c>
      <c r="I63" s="3195">
        <f>'3.XT-C KH'!I77</f>
        <v>0</v>
      </c>
      <c r="J63" s="3121"/>
      <c r="K63" s="3121">
        <f>'3.XT-C KH'!K77</f>
        <v>0</v>
      </c>
      <c r="L63" s="3121"/>
      <c r="M63" s="920"/>
      <c r="N63" s="921"/>
      <c r="O63" s="921"/>
      <c r="P63" s="922"/>
      <c r="Q63" s="3121">
        <f>'3.XT-C KH'!Q77</f>
        <v>0</v>
      </c>
      <c r="R63" s="3121"/>
      <c r="S63" s="3121">
        <f>'3.XT-C KH'!S77:T77</f>
        <v>0</v>
      </c>
      <c r="T63" s="3121"/>
      <c r="U63" s="920"/>
      <c r="V63" s="921"/>
      <c r="W63" s="921"/>
      <c r="X63" s="922"/>
      <c r="Y63" s="3121">
        <f>'3.XT-C KH'!Y77</f>
        <v>0</v>
      </c>
      <c r="Z63" s="3121"/>
      <c r="AA63" s="3121">
        <f>'3.XT-C KH'!AA77</f>
        <v>0</v>
      </c>
      <c r="AB63" s="3121"/>
      <c r="AC63" s="920"/>
      <c r="AD63" s="921"/>
      <c r="AE63" s="921"/>
      <c r="AF63" s="922"/>
      <c r="AG63" s="2044"/>
    </row>
    <row r="64" spans="1:38" ht="54" customHeight="1">
      <c r="A64" s="2043">
        <v>5</v>
      </c>
      <c r="B64" s="3306" t="s">
        <v>116</v>
      </c>
      <c r="C64" s="3307"/>
      <c r="D64" s="3307"/>
      <c r="E64" s="3308"/>
      <c r="F64" s="2050" t="s">
        <v>26</v>
      </c>
      <c r="G64" s="2051" t="str">
        <f>'XM.GUI MAIL'!$E$117</f>
        <v>24~28</v>
      </c>
      <c r="H64" s="2219" t="str">
        <f>'XM.GUI MAIL'!$F$117</f>
        <v>(26±2)</v>
      </c>
      <c r="I64" s="3309">
        <f>'3.XT-C KH'!AQ57</f>
        <v>0</v>
      </c>
      <c r="J64" s="3108"/>
      <c r="K64" s="3107">
        <f>'3.XT-C KH'!AS57</f>
        <v>0</v>
      </c>
      <c r="L64" s="3108"/>
      <c r="M64" s="920"/>
      <c r="N64" s="921"/>
      <c r="O64" s="921"/>
      <c r="P64" s="922"/>
      <c r="Q64" s="3107">
        <f>'3.XT-C KH'!AY57</f>
        <v>0</v>
      </c>
      <c r="R64" s="3109"/>
      <c r="S64" s="3309">
        <f>'3.XT-C KH'!BA57</f>
        <v>0</v>
      </c>
      <c r="T64" s="3108"/>
      <c r="U64" s="920"/>
      <c r="V64" s="921"/>
      <c r="W64" s="921"/>
      <c r="X64" s="922"/>
      <c r="Y64" s="3309">
        <f>'3.XT-C KH'!BG57</f>
        <v>0</v>
      </c>
      <c r="Z64" s="3108"/>
      <c r="AA64" s="3107">
        <f>'3.XT-C KH'!BI57</f>
        <v>0</v>
      </c>
      <c r="AB64" s="3108"/>
      <c r="AC64" s="920"/>
      <c r="AD64" s="921"/>
      <c r="AE64" s="921"/>
      <c r="AF64" s="922"/>
      <c r="AG64" s="2668"/>
    </row>
    <row r="65" spans="1:33" ht="54" customHeight="1">
      <c r="A65" s="2043">
        <v>6</v>
      </c>
      <c r="B65" s="3306" t="s">
        <v>120</v>
      </c>
      <c r="C65" s="3307"/>
      <c r="D65" s="3307"/>
      <c r="E65" s="3308"/>
      <c r="F65" s="2050" t="s">
        <v>26</v>
      </c>
      <c r="G65" s="2051" t="str">
        <f>'XM.GUI MAIL'!$E$118</f>
        <v>20~30</v>
      </c>
      <c r="H65" s="2219" t="str">
        <f>'XM.GUI MAIL'!$F$118</f>
        <v>(25±5)</v>
      </c>
      <c r="I65" s="3309">
        <f>'3.XT-C KH'!AQ58</f>
        <v>0</v>
      </c>
      <c r="J65" s="3108"/>
      <c r="K65" s="3107">
        <f>'3.XT-C KH'!AS58</f>
        <v>0</v>
      </c>
      <c r="L65" s="3313"/>
      <c r="M65" s="920"/>
      <c r="N65" s="921"/>
      <c r="O65" s="921"/>
      <c r="P65" s="922"/>
      <c r="Q65" s="3309">
        <f>'3.XT-C KH'!AY58</f>
        <v>0</v>
      </c>
      <c r="R65" s="3108"/>
      <c r="S65" s="3107">
        <f>'3.XT-C KH'!BA58</f>
        <v>0</v>
      </c>
      <c r="T65" s="3313"/>
      <c r="U65" s="920"/>
      <c r="V65" s="921"/>
      <c r="W65" s="921"/>
      <c r="X65" s="922"/>
      <c r="Y65" s="3309">
        <f>'3.XT-C KH'!BG58</f>
        <v>0</v>
      </c>
      <c r="Z65" s="3108"/>
      <c r="AA65" s="3107">
        <f>'3.XT-C KH'!BI58</f>
        <v>0</v>
      </c>
      <c r="AB65" s="3313"/>
      <c r="AC65" s="920"/>
      <c r="AD65" s="921"/>
      <c r="AE65" s="921"/>
      <c r="AF65" s="922"/>
      <c r="AG65" s="2668"/>
    </row>
    <row r="66" spans="1:33" ht="54" customHeight="1">
      <c r="A66" s="2043">
        <v>7</v>
      </c>
      <c r="B66" s="3320" t="s">
        <v>959</v>
      </c>
      <c r="C66" s="3321"/>
      <c r="D66" s="3321"/>
      <c r="E66" s="3322"/>
      <c r="F66" s="1578" t="s">
        <v>953</v>
      </c>
      <c r="G66" s="1579" t="str">
        <f>'XM.FILE GOC'!$E$111</f>
        <v>55~65</v>
      </c>
      <c r="H66" s="2218" t="str">
        <f>'XM.FILE GOC'!$F$111</f>
        <v>(60±5)</v>
      </c>
      <c r="I66" s="3323">
        <f>'3.XT-C KH'!I80</f>
        <v>0</v>
      </c>
      <c r="J66" s="3324"/>
      <c r="K66" s="3324">
        <f>'3.XT-C KH'!K80</f>
        <v>0</v>
      </c>
      <c r="L66" s="3324"/>
      <c r="M66" s="920"/>
      <c r="N66" s="921"/>
      <c r="O66" s="921"/>
      <c r="P66" s="922"/>
      <c r="Q66" s="3324">
        <f>'3.XT-C KH'!Q80</f>
        <v>0</v>
      </c>
      <c r="R66" s="3324"/>
      <c r="S66" s="3324">
        <f>'3.XT-C KH'!S80</f>
        <v>0</v>
      </c>
      <c r="T66" s="3324"/>
      <c r="U66" s="920"/>
      <c r="V66" s="921"/>
      <c r="W66" s="921"/>
      <c r="X66" s="922"/>
      <c r="Y66" s="3324">
        <f>'3.XT-C KH'!Y80</f>
        <v>0</v>
      </c>
      <c r="Z66" s="3324"/>
      <c r="AA66" s="3324">
        <f>'3.XT-C KH'!AA80</f>
        <v>0</v>
      </c>
      <c r="AB66" s="3324"/>
      <c r="AC66" s="920"/>
      <c r="AD66" s="921"/>
      <c r="AE66" s="921"/>
      <c r="AF66" s="922"/>
      <c r="AG66" s="1580"/>
    </row>
    <row r="67" spans="1:33" ht="54" customHeight="1">
      <c r="A67" s="2043">
        <v>8</v>
      </c>
      <c r="B67" s="3310" t="s">
        <v>960</v>
      </c>
      <c r="C67" s="3311"/>
      <c r="D67" s="3311"/>
      <c r="E67" s="3312"/>
      <c r="F67" s="976" t="s">
        <v>953</v>
      </c>
      <c r="G67" s="897" t="str">
        <f>'XM.FILE GOC'!$E$112</f>
        <v>80~100</v>
      </c>
      <c r="H67" s="2202" t="str">
        <f>'XM.FILE GOC'!$F$112</f>
        <v>(90±5)</v>
      </c>
      <c r="I67" s="3228" t="str">
        <f>'3.XT-C KH'!I81</f>
        <v>\</v>
      </c>
      <c r="J67" s="3284"/>
      <c r="K67" s="3121">
        <f>'3.XT-C KH'!K81</f>
        <v>0</v>
      </c>
      <c r="L67" s="3121"/>
      <c r="M67" s="920"/>
      <c r="N67" s="921"/>
      <c r="O67" s="921"/>
      <c r="P67" s="922"/>
      <c r="Q67" s="3284" t="str">
        <f>'3.XT-C KH'!Q81</f>
        <v>\</v>
      </c>
      <c r="R67" s="3284"/>
      <c r="S67" s="3121">
        <f>'3.XT-C KH'!S81</f>
        <v>0</v>
      </c>
      <c r="T67" s="3121"/>
      <c r="U67" s="920"/>
      <c r="V67" s="921"/>
      <c r="W67" s="921"/>
      <c r="X67" s="922"/>
      <c r="Y67" s="3284" t="str">
        <f>'3.XT-C KH'!Y81</f>
        <v>\</v>
      </c>
      <c r="Z67" s="3284"/>
      <c r="AA67" s="3121">
        <f>'3.XT-C KH'!AA81</f>
        <v>0</v>
      </c>
      <c r="AB67" s="3121"/>
      <c r="AC67" s="920"/>
      <c r="AD67" s="921"/>
      <c r="AE67" s="921"/>
      <c r="AF67" s="922"/>
      <c r="AG67" s="2044"/>
    </row>
    <row r="68" spans="1:33" ht="54" customHeight="1">
      <c r="A68" s="2043">
        <v>9</v>
      </c>
      <c r="B68" s="3325" t="s">
        <v>1275</v>
      </c>
      <c r="C68" s="3326"/>
      <c r="D68" s="3326"/>
      <c r="E68" s="3327"/>
      <c r="F68" s="976" t="s">
        <v>953</v>
      </c>
      <c r="G68" s="897" t="str">
        <f>'XM.FILE GOC'!$E$113</f>
        <v>40~60</v>
      </c>
      <c r="H68" s="2202" t="str">
        <f>'XM.FILE GOC'!$F$113</f>
        <v>(50±10)</v>
      </c>
      <c r="I68" s="3276">
        <f>'3.XT-C KH'!I82</f>
        <v>0</v>
      </c>
      <c r="J68" s="3277"/>
      <c r="K68" s="3277">
        <f>'3.XT-C KH'!K82</f>
        <v>0</v>
      </c>
      <c r="L68" s="3277"/>
      <c r="M68" s="920"/>
      <c r="N68" s="921"/>
      <c r="O68" s="921"/>
      <c r="P68" s="922"/>
      <c r="Q68" s="3277">
        <f>'3.XT-C KH'!Q82</f>
        <v>0</v>
      </c>
      <c r="R68" s="3277"/>
      <c r="S68" s="3277">
        <f>'3.XT-C KH'!S82</f>
        <v>0</v>
      </c>
      <c r="T68" s="3277"/>
      <c r="U68" s="920"/>
      <c r="V68" s="921"/>
      <c r="W68" s="921"/>
      <c r="X68" s="922"/>
      <c r="Y68" s="3277">
        <f>'3.XT-C KH'!Y82</f>
        <v>0</v>
      </c>
      <c r="Z68" s="3277"/>
      <c r="AA68" s="3277">
        <f>'3.XT-C KH'!AA82</f>
        <v>0</v>
      </c>
      <c r="AB68" s="3277"/>
      <c r="AC68" s="920"/>
      <c r="AD68" s="921"/>
      <c r="AE68" s="921"/>
      <c r="AF68" s="922"/>
      <c r="AG68" s="895"/>
    </row>
    <row r="69" spans="1:33" ht="54" customHeight="1">
      <c r="A69" s="2043">
        <v>10</v>
      </c>
      <c r="B69" s="3328" t="s">
        <v>1277</v>
      </c>
      <c r="C69" s="3329"/>
      <c r="D69" s="3329"/>
      <c r="E69" s="3330"/>
      <c r="F69" s="2052" t="s">
        <v>953</v>
      </c>
      <c r="G69" s="897" t="str">
        <f>'XM.FILE GOC'!$E$114</f>
        <v>50~70</v>
      </c>
      <c r="H69" s="2202" t="str">
        <f>'XM.FILE GOC'!$F$114</f>
        <v>(60±10)</v>
      </c>
      <c r="I69" s="3276">
        <f>'3.XT-C KH'!I83</f>
        <v>0</v>
      </c>
      <c r="J69" s="3277"/>
      <c r="K69" s="3277">
        <f>'3.XT-C KH'!K83</f>
        <v>0</v>
      </c>
      <c r="L69" s="3277"/>
      <c r="M69" s="920"/>
      <c r="N69" s="921"/>
      <c r="O69" s="921"/>
      <c r="P69" s="922"/>
      <c r="Q69" s="3277">
        <f>'3.XT-C KH'!Q83</f>
        <v>0</v>
      </c>
      <c r="R69" s="3277"/>
      <c r="S69" s="3277">
        <f>'3.XT-C KH'!S83</f>
        <v>0</v>
      </c>
      <c r="T69" s="3277"/>
      <c r="U69" s="920"/>
      <c r="V69" s="921"/>
      <c r="W69" s="921"/>
      <c r="X69" s="922"/>
      <c r="Y69" s="3277">
        <f>'3.XT-C KH'!Y83</f>
        <v>0</v>
      </c>
      <c r="Z69" s="3277"/>
      <c r="AA69" s="3277">
        <f>'3.XT-C KH'!AA83</f>
        <v>0</v>
      </c>
      <c r="AB69" s="3277"/>
      <c r="AC69" s="920"/>
      <c r="AD69" s="921"/>
      <c r="AE69" s="921"/>
      <c r="AF69" s="922"/>
      <c r="AG69" s="895"/>
    </row>
  </sheetData>
  <sheetProtection selectLockedCells="1"/>
  <mergeCells count="255">
    <mergeCell ref="B17:E17"/>
    <mergeCell ref="B52:E52"/>
    <mergeCell ref="B20:E20"/>
    <mergeCell ref="B53:E53"/>
    <mergeCell ref="B55:E55"/>
    <mergeCell ref="B49:C50"/>
    <mergeCell ref="D49:E49"/>
    <mergeCell ref="D50:E50"/>
    <mergeCell ref="B51:E51"/>
    <mergeCell ref="B54:E54"/>
    <mergeCell ref="B25:E25"/>
    <mergeCell ref="AA69:AB69"/>
    <mergeCell ref="B69:E69"/>
    <mergeCell ref="I69:J69"/>
    <mergeCell ref="K69:L69"/>
    <mergeCell ref="Q69:R69"/>
    <mergeCell ref="S69:T69"/>
    <mergeCell ref="Y69:Z69"/>
    <mergeCell ref="AA67:AB67"/>
    <mergeCell ref="B68:E68"/>
    <mergeCell ref="I68:J68"/>
    <mergeCell ref="K68:L68"/>
    <mergeCell ref="Q68:R68"/>
    <mergeCell ref="S68:T68"/>
    <mergeCell ref="Y68:Z68"/>
    <mergeCell ref="AA68:AB68"/>
    <mergeCell ref="B67:E67"/>
    <mergeCell ref="I67:J67"/>
    <mergeCell ref="K67:L67"/>
    <mergeCell ref="Q67:R67"/>
    <mergeCell ref="S67:T67"/>
    <mergeCell ref="Y67:Z67"/>
    <mergeCell ref="AA65:AB65"/>
    <mergeCell ref="B66:E66"/>
    <mergeCell ref="I66:J66"/>
    <mergeCell ref="K66:L66"/>
    <mergeCell ref="Q66:R66"/>
    <mergeCell ref="S66:T66"/>
    <mergeCell ref="Y66:Z66"/>
    <mergeCell ref="AA66:AB66"/>
    <mergeCell ref="B65:E65"/>
    <mergeCell ref="I65:J65"/>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B60:E60"/>
    <mergeCell ref="I60:J60"/>
    <mergeCell ref="K60:L60"/>
    <mergeCell ref="Q60:R60"/>
    <mergeCell ref="S60:T60"/>
    <mergeCell ref="Y60:Z60"/>
    <mergeCell ref="AA60:AB60"/>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B56:E56"/>
    <mergeCell ref="B57:E57"/>
    <mergeCell ref="B59:E59"/>
    <mergeCell ref="I59:J59"/>
    <mergeCell ref="K59:L59"/>
    <mergeCell ref="Q59:R59"/>
    <mergeCell ref="S59:T59"/>
    <mergeCell ref="Y59:Z59"/>
    <mergeCell ref="AA59:AB59"/>
    <mergeCell ref="F39:F40"/>
    <mergeCell ref="G39:G40"/>
    <mergeCell ref="H39:H40"/>
    <mergeCell ref="I39:L39"/>
    <mergeCell ref="J40:L40"/>
    <mergeCell ref="A49:A50"/>
    <mergeCell ref="A45:A46"/>
    <mergeCell ref="B45:C46"/>
    <mergeCell ref="D45:E45"/>
    <mergeCell ref="D46:E46"/>
    <mergeCell ref="A47:A48"/>
    <mergeCell ref="B47:C48"/>
    <mergeCell ref="D47:E47"/>
    <mergeCell ref="D48:E48"/>
    <mergeCell ref="A41:A42"/>
    <mergeCell ref="B41:C42"/>
    <mergeCell ref="D41:E41"/>
    <mergeCell ref="D42:E42"/>
    <mergeCell ref="A43:A44"/>
    <mergeCell ref="B43:C44"/>
    <mergeCell ref="D43:E43"/>
    <mergeCell ref="D44:E44"/>
    <mergeCell ref="A39:A40"/>
    <mergeCell ref="B39:E40"/>
    <mergeCell ref="M39:P39"/>
    <mergeCell ref="Q39:T39"/>
    <mergeCell ref="U39:X39"/>
    <mergeCell ref="Y39:AB39"/>
    <mergeCell ref="AC39:AF39"/>
    <mergeCell ref="AG39:AG40"/>
    <mergeCell ref="N40:P40"/>
    <mergeCell ref="R40:T40"/>
    <mergeCell ref="V40:X40"/>
    <mergeCell ref="Z40:AB40"/>
    <mergeCell ref="AD40:AF40"/>
    <mergeCell ref="AD37:AE37"/>
    <mergeCell ref="AF37:AG37"/>
    <mergeCell ref="I38:L38"/>
    <mergeCell ref="AA38:AB38"/>
    <mergeCell ref="AD38:AE38"/>
    <mergeCell ref="AF38:AG38"/>
    <mergeCell ref="AA34:AB34"/>
    <mergeCell ref="B34:E34"/>
    <mergeCell ref="I34:J34"/>
    <mergeCell ref="K34:L34"/>
    <mergeCell ref="Q34:R34"/>
    <mergeCell ref="S34:T34"/>
    <mergeCell ref="Y34:Z34"/>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I25:J25"/>
    <mergeCell ref="K25:L25"/>
    <mergeCell ref="Q25:R25"/>
    <mergeCell ref="S25:T25"/>
    <mergeCell ref="Y25:Z25"/>
    <mergeCell ref="AA25:AB25"/>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Y24:Z24"/>
    <mergeCell ref="AA24:AB24"/>
    <mergeCell ref="A14:A15"/>
    <mergeCell ref="B14:C15"/>
    <mergeCell ref="D14:E14"/>
    <mergeCell ref="D15:E15"/>
    <mergeCell ref="A10:A11"/>
    <mergeCell ref="B10:C11"/>
    <mergeCell ref="D10:E10"/>
    <mergeCell ref="D11:E11"/>
    <mergeCell ref="A12:A13"/>
    <mergeCell ref="B12:C13"/>
    <mergeCell ref="D12:E12"/>
    <mergeCell ref="D13:E13"/>
    <mergeCell ref="B19:E19"/>
    <mergeCell ref="B21:E21"/>
    <mergeCell ref="B22:E22"/>
    <mergeCell ref="B24:E24"/>
    <mergeCell ref="I24:J24"/>
    <mergeCell ref="K24:L24"/>
    <mergeCell ref="Q24:R24"/>
    <mergeCell ref="S24:T24"/>
    <mergeCell ref="B16:E16"/>
    <mergeCell ref="B18:E18"/>
    <mergeCell ref="A6:A7"/>
    <mergeCell ref="B6:C7"/>
    <mergeCell ref="D6:E6"/>
    <mergeCell ref="D7:E7"/>
    <mergeCell ref="A8:A9"/>
    <mergeCell ref="B8:C9"/>
    <mergeCell ref="D8:E8"/>
    <mergeCell ref="D9:E9"/>
    <mergeCell ref="A4:A5"/>
    <mergeCell ref="B4:E5"/>
    <mergeCell ref="F4:F5"/>
    <mergeCell ref="G4:G5"/>
    <mergeCell ref="H4:H5"/>
    <mergeCell ref="I4:L4"/>
    <mergeCell ref="J5:L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s>
  <conditionalFormatting sqref="I57 Q57 Y57 I22 Q22 Y22">
    <cfRule type="expression" dxfId="3230" priority="1210">
      <formula>I22&lt;0.5%</formula>
    </cfRule>
    <cfRule type="expression" dxfId="3229" priority="1211">
      <formula>I22&gt;1.5%</formula>
    </cfRule>
  </conditionalFormatting>
  <conditionalFormatting sqref="Y45 Q45 I45 I47 Q47 Y47 Y10 Q10 I10 I12 Q12 Y12">
    <cfRule type="expression" dxfId="3228" priority="1209" stopIfTrue="1">
      <formula>I10&lt;50</formula>
    </cfRule>
  </conditionalFormatting>
  <conditionalFormatting sqref="Y45 Q45 I45 I47 Q47 Y47 Y10 Q10 I10 I12 Q12 Y12">
    <cfRule type="expression" dxfId="3227" priority="1208" stopIfTrue="1">
      <formula>I10&gt;70</formula>
    </cfRule>
  </conditionalFormatting>
  <conditionalFormatting sqref="I41 I43 Q41 Q43 Y41 Y43 I6 I8 Q6 Q8 Y6 Y8">
    <cfRule type="expression" dxfId="3226" priority="1205" stopIfTrue="1">
      <formula>I6&lt;40</formula>
    </cfRule>
  </conditionalFormatting>
  <conditionalFormatting sqref="I41 I43 Q41 Q43 Y41 Y43 I6 I8 Q6 Q8 Y6 Y8">
    <cfRule type="expression" dxfId="3225" priority="1204" stopIfTrue="1">
      <formula>I6&gt;60</formula>
    </cfRule>
  </conditionalFormatting>
  <conditionalFormatting sqref="I50 Q50 Y50 I15 Q15 Y15">
    <cfRule type="expression" dxfId="3224" priority="461" stopIfTrue="1">
      <formula>I15&gt;140</formula>
    </cfRule>
    <cfRule type="expression" dxfId="3223" priority="462" stopIfTrue="1">
      <formula>I15&lt;130</formula>
    </cfRule>
  </conditionalFormatting>
  <conditionalFormatting sqref="I16 Q16 Y51 Y16 Q51 I51">
    <cfRule type="cellIs" dxfId="3222" priority="458" operator="between">
      <formula>3</formula>
      <formula>4.099</formula>
    </cfRule>
    <cfRule type="expression" dxfId="3221" priority="459">
      <formula>I16&lt;3</formula>
    </cfRule>
    <cfRule type="expression" dxfId="3220" priority="460">
      <formula>I16&gt;4.5</formula>
    </cfRule>
  </conditionalFormatting>
  <conditionalFormatting sqref="I49 Q49 Y49 I14 Q14 Y14">
    <cfRule type="expression" dxfId="3219" priority="456">
      <formula>I14&lt;5</formula>
    </cfRule>
    <cfRule type="expression" dxfId="3218" priority="457">
      <formula>I14&gt;6</formula>
    </cfRule>
  </conditionalFormatting>
  <conditionalFormatting sqref="I60:L63 Q60:T63 Y60:AB63 I25:L28 Q25:T28 Y25:AB28">
    <cfRule type="cellIs" dxfId="3217" priority="263" operator="between">
      <formula>50</formula>
      <formula>54.9</formula>
    </cfRule>
    <cfRule type="cellIs" dxfId="3216" priority="264" operator="between">
      <formula>65.1</formula>
      <formula>70</formula>
    </cfRule>
    <cfRule type="expression" dxfId="3215" priority="265">
      <formula>I25&lt;50</formula>
    </cfRule>
    <cfRule type="expression" dxfId="3214" priority="266">
      <formula>I25&gt;70</formula>
    </cfRule>
  </conditionalFormatting>
  <conditionalFormatting sqref="K66 I66 S66 Q66 AA66 Y66 K31 I31 S31 Q31 AA31 Y31">
    <cfRule type="expression" dxfId="3213" priority="217">
      <formula>I31&lt;55</formula>
    </cfRule>
    <cfRule type="expression" dxfId="3212" priority="218">
      <formula>I31&gt;65</formula>
    </cfRule>
  </conditionalFormatting>
  <conditionalFormatting sqref="K67 S67 AA67 K32 S32 AA32">
    <cfRule type="cellIs" dxfId="3211" priority="213" operator="between">
      <formula>80</formula>
      <formula>84.9</formula>
    </cfRule>
    <cfRule type="cellIs" dxfId="3210" priority="214" operator="between">
      <formula>95.1</formula>
      <formula>100</formula>
    </cfRule>
    <cfRule type="expression" dxfId="3209" priority="215">
      <formula>K32&lt;80</formula>
    </cfRule>
    <cfRule type="expression" dxfId="3208" priority="216">
      <formula>K32&gt;100</formula>
    </cfRule>
  </conditionalFormatting>
  <conditionalFormatting sqref="K68 I68 S68 Q68 AA68 Y68 K33 I33 S33 Q33 AA33 Y33">
    <cfRule type="expression" dxfId="3207" priority="211">
      <formula>I33&lt;40</formula>
    </cfRule>
    <cfRule type="expression" dxfId="3206" priority="212">
      <formula>I33&gt;60</formula>
    </cfRule>
  </conditionalFormatting>
  <conditionalFormatting sqref="K69 I69 S69 Q69 AA69 Y69 K34 I34 S34 Q34 AA34 Y34">
    <cfRule type="expression" dxfId="3205" priority="209">
      <formula>I34&lt;50</formula>
    </cfRule>
    <cfRule type="expression" dxfId="3204" priority="210">
      <formula>I34&gt;70</formula>
    </cfRule>
  </conditionalFormatting>
  <conditionalFormatting sqref="I53">
    <cfRule type="expression" dxfId="3203" priority="63">
      <formula>I53&lt;40%</formula>
    </cfRule>
    <cfRule type="expression" dxfId="3202" priority="64">
      <formula>I53&gt;50%</formula>
    </cfRule>
  </conditionalFormatting>
  <conditionalFormatting sqref="I55:I56">
    <cfRule type="expression" dxfId="3201" priority="61">
      <formula>I55&lt;40%</formula>
    </cfRule>
    <cfRule type="expression" dxfId="3200" priority="62">
      <formula>I55&gt;50%</formula>
    </cfRule>
  </conditionalFormatting>
  <conditionalFormatting sqref="Q53">
    <cfRule type="expression" dxfId="3199" priority="57">
      <formula>Q53&lt;40%</formula>
    </cfRule>
    <cfRule type="expression" dxfId="3198" priority="58">
      <formula>Q53&gt;50%</formula>
    </cfRule>
  </conditionalFormatting>
  <conditionalFormatting sqref="Q55:Q56">
    <cfRule type="expression" dxfId="3197" priority="55">
      <formula>Q55&lt;40%</formula>
    </cfRule>
    <cfRule type="expression" dxfId="3196" priority="56">
      <formula>Q55&gt;50%</formula>
    </cfRule>
  </conditionalFormatting>
  <conditionalFormatting sqref="Y53">
    <cfRule type="expression" dxfId="3195" priority="51">
      <formula>Y53&lt;40%</formula>
    </cfRule>
    <cfRule type="expression" dxfId="3194" priority="52">
      <formula>Y53&gt;50%</formula>
    </cfRule>
  </conditionalFormatting>
  <conditionalFormatting sqref="Y55:Y56">
    <cfRule type="expression" dxfId="3193" priority="49">
      <formula>Y55&lt;40%</formula>
    </cfRule>
    <cfRule type="expression" dxfId="3192" priority="50">
      <formula>Y55&gt;50%</formula>
    </cfRule>
  </conditionalFormatting>
  <conditionalFormatting sqref="I18">
    <cfRule type="expression" dxfId="3191" priority="45">
      <formula>I18&lt;40%</formula>
    </cfRule>
    <cfRule type="expression" dxfId="3190" priority="46">
      <formula>I18&gt;50%</formula>
    </cfRule>
  </conditionalFormatting>
  <conditionalFormatting sqref="I20:I21">
    <cfRule type="expression" dxfId="3189" priority="43">
      <formula>I20&lt;40%</formula>
    </cfRule>
    <cfRule type="expression" dxfId="3188" priority="44">
      <formula>I20&gt;50%</formula>
    </cfRule>
  </conditionalFormatting>
  <conditionalFormatting sqref="Q18">
    <cfRule type="expression" dxfId="3187" priority="39">
      <formula>Q18&lt;40%</formula>
    </cfRule>
    <cfRule type="expression" dxfId="3186" priority="40">
      <formula>Q18&gt;50%</formula>
    </cfRule>
  </conditionalFormatting>
  <conditionalFormatting sqref="Q20:Q21">
    <cfRule type="expression" dxfId="3185" priority="37">
      <formula>Q20&lt;40%</formula>
    </cfRule>
    <cfRule type="expression" dxfId="3184" priority="38">
      <formula>Q20&gt;50%</formula>
    </cfRule>
  </conditionalFormatting>
  <conditionalFormatting sqref="Y18">
    <cfRule type="expression" dxfId="3183" priority="33">
      <formula>Y18&lt;40%</formula>
    </cfRule>
    <cfRule type="expression" dxfId="3182" priority="34">
      <formula>Y18&gt;50%</formula>
    </cfRule>
  </conditionalFormatting>
  <conditionalFormatting sqref="Y20:Y21">
    <cfRule type="expression" dxfId="3181" priority="31">
      <formula>Y20&lt;40%</formula>
    </cfRule>
    <cfRule type="expression" dxfId="3180" priority="32">
      <formula>Y20&gt;50%</formula>
    </cfRule>
  </conditionalFormatting>
  <conditionalFormatting sqref="I65 K65">
    <cfRule type="expression" dxfId="3179" priority="29">
      <formula>I65&lt;20</formula>
    </cfRule>
    <cfRule type="expression" dxfId="3178" priority="30">
      <formula>I65&gt;30</formula>
    </cfRule>
  </conditionalFormatting>
  <conditionalFormatting sqref="I64 K64">
    <cfRule type="expression" dxfId="3177" priority="27">
      <formula>I64&lt;24</formula>
    </cfRule>
    <cfRule type="expression" dxfId="3176" priority="28">
      <formula>I64&gt;28</formula>
    </cfRule>
  </conditionalFormatting>
  <conditionalFormatting sqref="Q64">
    <cfRule type="expression" dxfId="3175" priority="25">
      <formula>Q64&lt;24</formula>
    </cfRule>
    <cfRule type="expression" dxfId="3174" priority="26">
      <formula>Q64&gt;28</formula>
    </cfRule>
  </conditionalFormatting>
  <conditionalFormatting sqref="S64">
    <cfRule type="expression" dxfId="3173" priority="23">
      <formula>S64&lt;24</formula>
    </cfRule>
    <cfRule type="expression" dxfId="3172" priority="24">
      <formula>S64&gt;28</formula>
    </cfRule>
  </conditionalFormatting>
  <conditionalFormatting sqref="Q65 S65">
    <cfRule type="expression" dxfId="3171" priority="21">
      <formula>Q65&lt;20</formula>
    </cfRule>
    <cfRule type="expression" dxfId="3170" priority="22">
      <formula>Q65&gt;30</formula>
    </cfRule>
  </conditionalFormatting>
  <conditionalFormatting sqref="Y65 AA65">
    <cfRule type="expression" dxfId="3169" priority="19">
      <formula>Y65&lt;20</formula>
    </cfRule>
    <cfRule type="expression" dxfId="3168" priority="20">
      <formula>Y65&gt;30</formula>
    </cfRule>
  </conditionalFormatting>
  <conditionalFormatting sqref="Y64 AA64">
    <cfRule type="expression" dxfId="3167" priority="17">
      <formula>Y64&lt;24</formula>
    </cfRule>
    <cfRule type="expression" dxfId="3166" priority="18">
      <formula>Y64&gt;28</formula>
    </cfRule>
  </conditionalFormatting>
  <conditionalFormatting sqref="I30 K30">
    <cfRule type="expression" dxfId="3165" priority="15">
      <formula>I30&lt;20</formula>
    </cfRule>
    <cfRule type="expression" dxfId="3164" priority="16">
      <formula>I30&gt;30</formula>
    </cfRule>
  </conditionalFormatting>
  <conditionalFormatting sqref="I29 K29">
    <cfRule type="expression" dxfId="3163" priority="13">
      <formula>I29&lt;24</formula>
    </cfRule>
    <cfRule type="expression" dxfId="3162" priority="14">
      <formula>I29&gt;28</formula>
    </cfRule>
  </conditionalFormatting>
  <conditionalFormatting sqref="Q30 S30">
    <cfRule type="expression" dxfId="3161" priority="11">
      <formula>Q30&lt;20</formula>
    </cfRule>
    <cfRule type="expression" dxfId="3160" priority="12">
      <formula>Q30&gt;30</formula>
    </cfRule>
  </conditionalFormatting>
  <conditionalFormatting sqref="Q29 S29">
    <cfRule type="expression" dxfId="3159" priority="9">
      <formula>Q29&lt;24</formula>
    </cfRule>
    <cfRule type="expression" dxfId="3158" priority="10">
      <formula>Q29&gt;28</formula>
    </cfRule>
  </conditionalFormatting>
  <conditionalFormatting sqref="Y30 AA30">
    <cfRule type="expression" dxfId="3157" priority="7">
      <formula>Y30&lt;20</formula>
    </cfRule>
    <cfRule type="expression" dxfId="3156" priority="8">
      <formula>Y30&gt;30</formula>
    </cfRule>
  </conditionalFormatting>
  <conditionalFormatting sqref="Y29 AA29">
    <cfRule type="expression" dxfId="3155" priority="5">
      <formula>Y29&lt;24</formula>
    </cfRule>
    <cfRule type="expression" dxfId="3154" priority="6">
      <formula>Y29&gt;28</formula>
    </cfRule>
  </conditionalFormatting>
  <pageMargins left="0.39" right="0" top="0.2"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codeName="Sheet12">
    <tabColor rgb="FFC00000"/>
  </sheetPr>
  <dimension ref="A1:BK150"/>
  <sheetViews>
    <sheetView showGridLines="0" zoomScale="55" zoomScaleNormal="55" workbookViewId="0">
      <pane xSplit="8" ySplit="2" topLeftCell="I61" activePane="bottomRight" state="frozen"/>
      <selection pane="topRight" activeCell="I1" sqref="I1"/>
      <selection pane="bottomLeft" activeCell="A3" sqref="A3"/>
      <selection pane="bottomRight" activeCell="C40" sqref="C40:AW73"/>
    </sheetView>
  </sheetViews>
  <sheetFormatPr defaultRowHeight="15.75"/>
  <cols>
    <col min="1" max="1" width="9.75" style="1219" customWidth="1"/>
    <col min="2" max="2" width="16.25" style="264" hidden="1" customWidth="1"/>
    <col min="3" max="3" width="29" style="264" customWidth="1"/>
    <col min="4" max="4" width="11" style="264" customWidth="1"/>
    <col min="5" max="5" width="20.25" style="264" customWidth="1"/>
    <col min="6" max="6" width="12.375" style="264" customWidth="1"/>
    <col min="7" max="7" width="12" style="2621" hidden="1" customWidth="1"/>
    <col min="8" max="8" width="12.875" style="2065" hidden="1" customWidth="1"/>
    <col min="9" max="9" width="11.375" style="264" customWidth="1"/>
    <col min="10" max="10" width="11.375" style="2065" hidden="1" customWidth="1"/>
    <col min="11" max="11" width="2.5" style="264" customWidth="1"/>
    <col min="12" max="12" width="8" style="264" customWidth="1"/>
    <col min="13" max="13" width="7.375" style="1620" customWidth="1"/>
    <col min="14" max="14" width="5" style="264" customWidth="1"/>
    <col min="15" max="15" width="6.625" style="2065" hidden="1" customWidth="1"/>
    <col min="16" max="16" width="10" style="264" customWidth="1"/>
    <col min="17" max="17" width="5.75" style="2065" hidden="1" customWidth="1"/>
    <col min="18" max="18" width="3" style="264" customWidth="1"/>
    <col min="19" max="19" width="7.875" style="264" customWidth="1"/>
    <col min="20" max="20" width="6.5" style="1620" customWidth="1"/>
    <col min="21" max="21" width="5.25" style="264" customWidth="1"/>
    <col min="22" max="22" width="9" style="2065" hidden="1" customWidth="1"/>
    <col min="23" max="23" width="10.25" style="264" customWidth="1"/>
    <col min="24" max="24" width="9" style="2065" hidden="1" customWidth="1"/>
    <col min="25" max="25" width="3.75" style="264" customWidth="1"/>
    <col min="26" max="26" width="7.5" style="264" customWidth="1"/>
    <col min="27" max="27" width="6.5" style="1620" customWidth="1"/>
    <col min="28" max="28" width="5.375" style="264" customWidth="1"/>
    <col min="29" max="29" width="9" style="2065" hidden="1" customWidth="1"/>
    <col min="30" max="30" width="9.125" style="264" customWidth="1"/>
    <col min="31" max="31" width="9" style="2065" hidden="1" customWidth="1"/>
    <col min="32" max="32" width="4" style="264" customWidth="1"/>
    <col min="33" max="33" width="7.75" style="264" customWidth="1"/>
    <col min="34" max="34" width="6.125" style="1620" customWidth="1"/>
    <col min="35" max="35" width="6" style="40" customWidth="1"/>
    <col min="36" max="36" width="7.5" style="2065" hidden="1" customWidth="1"/>
    <col min="37" max="37" width="7.625" style="264" customWidth="1"/>
    <col min="38" max="38" width="9" style="2065" hidden="1" customWidth="1"/>
    <col min="39" max="39" width="4" style="264" customWidth="1"/>
    <col min="40" max="40" width="8.75" style="264" customWidth="1"/>
    <col min="41" max="41" width="6.5" style="1620" customWidth="1"/>
    <col min="42" max="42" width="4.875" style="40" customWidth="1"/>
    <col min="43" max="43" width="7" style="2065" hidden="1" customWidth="1"/>
    <col min="44" max="44" width="9.25" style="264" customWidth="1"/>
    <col min="45" max="45" width="9" style="2065" hidden="1" customWidth="1"/>
    <col min="46" max="46" width="4" style="264" customWidth="1"/>
    <col min="47" max="47" width="7.875" style="264" customWidth="1"/>
    <col min="48" max="48" width="6.5" style="1620" customWidth="1"/>
    <col min="49" max="49" width="4.875" style="40" customWidth="1"/>
    <col min="50" max="50" width="4.875" style="264" customWidth="1"/>
    <col min="51" max="51" width="43.5" style="264" customWidth="1"/>
    <col min="52" max="52" width="18.125" style="264" customWidth="1"/>
    <col min="53" max="53" width="24.125" style="264" customWidth="1"/>
    <col min="54" max="54" width="23.5" style="264" customWidth="1"/>
    <col min="55" max="55" width="18.125" style="264" customWidth="1"/>
    <col min="56" max="56" width="7.625" style="264" customWidth="1"/>
    <col min="57" max="57" width="18.125" style="264" customWidth="1"/>
    <col min="58" max="58" width="7.125" style="264" customWidth="1"/>
    <col min="59" max="60" width="18.125" style="264" customWidth="1"/>
    <col min="61" max="61" width="12" style="264" customWidth="1"/>
    <col min="62" max="62" width="24.75" style="264" customWidth="1"/>
    <col min="63" max="16384" width="9" style="264"/>
  </cols>
  <sheetData>
    <row r="1" spans="1:51" ht="39" customHeight="1">
      <c r="A1" s="1707"/>
      <c r="B1" s="287"/>
      <c r="C1" s="288" t="s">
        <v>1500</v>
      </c>
      <c r="D1" s="289"/>
      <c r="E1" s="1606"/>
      <c r="F1" s="1606"/>
      <c r="G1" s="2582"/>
      <c r="H1" s="2455"/>
      <c r="I1" s="289"/>
      <c r="J1" s="2455"/>
      <c r="K1" s="289"/>
      <c r="L1" s="289"/>
      <c r="M1" s="1613"/>
      <c r="N1" s="289"/>
      <c r="O1" s="2455"/>
      <c r="P1" s="289"/>
      <c r="Q1" s="2455"/>
      <c r="R1" s="289"/>
      <c r="S1" s="289"/>
      <c r="T1" s="1613"/>
      <c r="U1" s="289"/>
      <c r="V1" s="2455"/>
      <c r="W1" s="289"/>
      <c r="X1" s="2455"/>
      <c r="Y1" s="289"/>
      <c r="Z1" s="289"/>
      <c r="AA1" s="1613"/>
      <c r="AB1" s="289"/>
      <c r="AC1" s="2455"/>
      <c r="AD1" s="289"/>
      <c r="AE1" s="2455"/>
      <c r="AF1" s="289"/>
      <c r="AG1" s="289"/>
      <c r="AH1" s="1613"/>
      <c r="AI1" s="264"/>
      <c r="AP1" s="264"/>
      <c r="AV1" s="2080"/>
      <c r="AW1" s="1602"/>
    </row>
    <row r="2" spans="1:51" ht="30.75" customHeight="1">
      <c r="A2" s="1948" t="str">
        <f>MENU!$AC$9</f>
        <v>Thứ 5,</v>
      </c>
      <c r="B2" s="1949"/>
      <c r="C2" s="1950" t="str">
        <f>MENU!$AD$9</f>
        <v>2024/08/01</v>
      </c>
      <c r="D2" s="1509"/>
      <c r="E2" s="1607"/>
      <c r="F2" s="1608"/>
      <c r="G2" s="2583"/>
      <c r="H2" s="2456"/>
      <c r="I2" s="290"/>
      <c r="J2" s="2456"/>
      <c r="K2" s="290"/>
      <c r="L2" s="290"/>
      <c r="M2" s="1614"/>
      <c r="N2" s="290"/>
      <c r="O2" s="2456"/>
      <c r="P2" s="290"/>
      <c r="Q2" s="2456"/>
      <c r="R2" s="290"/>
      <c r="S2" s="290"/>
      <c r="T2" s="1614"/>
      <c r="U2" s="290"/>
      <c r="V2" s="2456"/>
      <c r="W2" s="290"/>
      <c r="X2" s="2456"/>
      <c r="Y2" s="290"/>
      <c r="Z2" s="290"/>
      <c r="AA2" s="1614"/>
      <c r="AB2" s="290"/>
      <c r="AC2" s="2456"/>
      <c r="AD2" s="290"/>
      <c r="AE2" s="2456"/>
      <c r="AF2" s="290"/>
      <c r="AG2" s="290"/>
      <c r="AH2" s="1623"/>
      <c r="AI2" s="264"/>
      <c r="AP2" s="264"/>
      <c r="AW2" s="264"/>
    </row>
    <row r="3" spans="1:51" ht="41.25" customHeight="1">
      <c r="A3" s="1708"/>
      <c r="B3" s="1046"/>
      <c r="C3" s="1708" t="s">
        <v>1467</v>
      </c>
      <c r="D3" s="1047"/>
      <c r="E3" s="2077"/>
      <c r="F3" s="1047"/>
      <c r="G3" s="2584"/>
      <c r="H3" s="2457"/>
      <c r="I3" s="1824" t="str">
        <f>MENU!$AC$9</f>
        <v>Thứ 5,</v>
      </c>
      <c r="J3" s="2623"/>
      <c r="K3" s="1902"/>
      <c r="L3" s="1825" t="str">
        <f>MENU!$AD$9</f>
        <v>2024/08/01</v>
      </c>
      <c r="M3" s="1903"/>
      <c r="N3" s="1049"/>
      <c r="O3" s="2485"/>
      <c r="P3" s="1049"/>
      <c r="Q3" s="2485"/>
      <c r="R3" s="1049"/>
      <c r="S3" s="1049"/>
      <c r="T3" s="1615"/>
      <c r="U3" s="1048"/>
      <c r="V3" s="2457"/>
      <c r="W3" s="1048"/>
      <c r="X3" s="2457"/>
      <c r="Y3" s="1048"/>
      <c r="Z3" s="1048"/>
      <c r="AA3" s="1622"/>
      <c r="AB3" s="1048"/>
      <c r="AC3" s="2457"/>
      <c r="AD3" s="1899" t="s">
        <v>214</v>
      </c>
      <c r="AE3" s="2457"/>
      <c r="AF3" s="1048"/>
      <c r="AG3" s="1048"/>
      <c r="AH3" s="1622"/>
      <c r="AI3" s="1048"/>
      <c r="AK3" s="1046"/>
      <c r="AL3" s="2576"/>
      <c r="AM3" s="1050"/>
      <c r="AN3" s="1050"/>
      <c r="AO3" s="1624"/>
      <c r="AP3" s="1050"/>
      <c r="AQ3" s="2576"/>
      <c r="AR3" s="1050"/>
      <c r="AS3" s="2576"/>
      <c r="AT3" s="1050"/>
      <c r="AU3" s="1050"/>
      <c r="AV3" s="1624"/>
      <c r="AW3" s="1051"/>
      <c r="AY3" s="3353" t="s">
        <v>1503</v>
      </c>
    </row>
    <row r="4" spans="1:51" ht="24.75" customHeight="1">
      <c r="A4" s="1709"/>
      <c r="B4" s="1379"/>
      <c r="C4" s="1384"/>
      <c r="D4" s="1384"/>
      <c r="E4" s="1384"/>
      <c r="F4" s="1881"/>
      <c r="G4" s="3361" t="s">
        <v>124</v>
      </c>
      <c r="H4" s="2585"/>
      <c r="I4" s="268" t="s">
        <v>1454</v>
      </c>
      <c r="J4" s="2458"/>
      <c r="K4" s="268"/>
      <c r="L4" s="268"/>
      <c r="M4" s="1616"/>
      <c r="N4" s="268"/>
      <c r="O4" s="2509"/>
      <c r="P4" s="281" t="s">
        <v>1444</v>
      </c>
      <c r="Q4" s="2458"/>
      <c r="R4" s="268"/>
      <c r="S4" s="268"/>
      <c r="T4" s="1616"/>
      <c r="U4" s="269"/>
      <c r="V4" s="2458"/>
      <c r="W4" s="268" t="s">
        <v>1445</v>
      </c>
      <c r="X4" s="2458"/>
      <c r="Y4" s="268"/>
      <c r="Z4" s="268"/>
      <c r="AA4" s="1616"/>
      <c r="AB4" s="268"/>
      <c r="AC4" s="2509"/>
      <c r="AD4" s="281" t="s">
        <v>1446</v>
      </c>
      <c r="AE4" s="2458"/>
      <c r="AF4" s="268"/>
      <c r="AG4" s="268"/>
      <c r="AH4" s="1616"/>
      <c r="AI4" s="269"/>
      <c r="AJ4" s="2458"/>
      <c r="AK4" s="268" t="s">
        <v>1447</v>
      </c>
      <c r="AL4" s="2458"/>
      <c r="AM4" s="268"/>
      <c r="AN4" s="268"/>
      <c r="AO4" s="1616"/>
      <c r="AP4" s="268"/>
      <c r="AQ4" s="2458"/>
      <c r="AR4" s="281" t="s">
        <v>1448</v>
      </c>
      <c r="AS4" s="2458"/>
      <c r="AT4" s="268"/>
      <c r="AU4" s="269"/>
      <c r="AV4" s="1627"/>
      <c r="AW4" s="1000"/>
      <c r="AY4" s="3353"/>
    </row>
    <row r="5" spans="1:51" ht="63.75" customHeight="1">
      <c r="A5" s="1710" t="s">
        <v>236</v>
      </c>
      <c r="B5" s="1379" t="s">
        <v>315</v>
      </c>
      <c r="C5" s="1382" t="s">
        <v>314</v>
      </c>
      <c r="D5" s="1382" t="s">
        <v>1258</v>
      </c>
      <c r="E5" s="1820" t="s">
        <v>1481</v>
      </c>
      <c r="F5" s="1882" t="s">
        <v>1289</v>
      </c>
      <c r="G5" s="3362"/>
      <c r="H5" s="2542"/>
      <c r="I5" s="1754" t="s">
        <v>1431</v>
      </c>
      <c r="J5" s="2624" t="s">
        <v>1</v>
      </c>
      <c r="K5" s="3350" t="s">
        <v>1432</v>
      </c>
      <c r="L5" s="3350"/>
      <c r="M5" s="3351" t="s">
        <v>1489</v>
      </c>
      <c r="N5" s="3352"/>
      <c r="O5" s="2510"/>
      <c r="P5" s="1754" t="s">
        <v>1431</v>
      </c>
      <c r="Q5" s="2624" t="s">
        <v>1</v>
      </c>
      <c r="R5" s="3350" t="s">
        <v>1432</v>
      </c>
      <c r="S5" s="3350"/>
      <c r="T5" s="3351" t="s">
        <v>1489</v>
      </c>
      <c r="U5" s="3352"/>
      <c r="V5" s="2542"/>
      <c r="W5" s="1754" t="s">
        <v>1431</v>
      </c>
      <c r="X5" s="2624" t="s">
        <v>1</v>
      </c>
      <c r="Y5" s="3350" t="s">
        <v>1432</v>
      </c>
      <c r="Z5" s="3350"/>
      <c r="AA5" s="3351" t="s">
        <v>1489</v>
      </c>
      <c r="AB5" s="3352"/>
      <c r="AC5" s="2510"/>
      <c r="AD5" s="1754" t="s">
        <v>1431</v>
      </c>
      <c r="AE5" s="2624" t="s">
        <v>1</v>
      </c>
      <c r="AF5" s="3350" t="s">
        <v>1432</v>
      </c>
      <c r="AG5" s="3350"/>
      <c r="AH5" s="3351" t="s">
        <v>1489</v>
      </c>
      <c r="AI5" s="3352"/>
      <c r="AJ5" s="2510"/>
      <c r="AK5" s="2004" t="s">
        <v>1431</v>
      </c>
      <c r="AL5" s="2624" t="s">
        <v>1</v>
      </c>
      <c r="AM5" s="3350" t="s">
        <v>1432</v>
      </c>
      <c r="AN5" s="3350"/>
      <c r="AO5" s="3351" t="s">
        <v>1489</v>
      </c>
      <c r="AP5" s="3352"/>
      <c r="AQ5" s="2510"/>
      <c r="AR5" s="1754" t="s">
        <v>1431</v>
      </c>
      <c r="AS5" s="2624" t="s">
        <v>1</v>
      </c>
      <c r="AT5" s="3350" t="s">
        <v>1432</v>
      </c>
      <c r="AU5" s="3350"/>
      <c r="AV5" s="3351" t="s">
        <v>1489</v>
      </c>
      <c r="AW5" s="3352"/>
      <c r="AY5" s="3353"/>
    </row>
    <row r="6" spans="1:51" ht="37.5" customHeight="1">
      <c r="A6" s="1827" t="s">
        <v>237</v>
      </c>
      <c r="B6" s="1828" t="s">
        <v>214</v>
      </c>
      <c r="C6" s="1828" t="s">
        <v>76</v>
      </c>
      <c r="D6" s="1829" t="s">
        <v>4</v>
      </c>
      <c r="E6" s="1877" t="s">
        <v>1335</v>
      </c>
      <c r="F6" s="1883" t="s">
        <v>1313</v>
      </c>
      <c r="G6" s="2586">
        <v>30</v>
      </c>
      <c r="H6" s="2548">
        <f>XM.HN!B3</f>
        <v>0</v>
      </c>
      <c r="I6" s="1833">
        <f>H6*4</f>
        <v>0</v>
      </c>
      <c r="J6" s="2460">
        <f>($G$6-I6)*2693/1000</f>
        <v>80.790000000000006</v>
      </c>
      <c r="K6" s="1835" t="s">
        <v>8</v>
      </c>
      <c r="L6" s="1836">
        <f>IF(I6=0,0,IF(J6&lt;0,0,J6))</f>
        <v>0</v>
      </c>
      <c r="M6" s="2034" t="str">
        <f>IF('1. XL-1E TT'!AB6="","",'1. XL-1E TT'!AB6)</f>
        <v/>
      </c>
      <c r="N6" s="1838" t="s">
        <v>9</v>
      </c>
      <c r="O6" s="2511">
        <f>XM.HN!C3</f>
        <v>6.65</v>
      </c>
      <c r="P6" s="1833">
        <f>O6*4</f>
        <v>26.6</v>
      </c>
      <c r="Q6" s="2460">
        <f>($G$6-P6)*2693/1000</f>
        <v>9.1561999999999948</v>
      </c>
      <c r="R6" s="1835" t="s">
        <v>8</v>
      </c>
      <c r="S6" s="1836">
        <f>IF(P6=0,0,IF(Q6&lt;0,0,Q6))</f>
        <v>9.1561999999999948</v>
      </c>
      <c r="T6" s="2034" t="str">
        <f>IF('1. XL-1E TT'!AF6="","",'1. XL-1E TT'!AF6)</f>
        <v/>
      </c>
      <c r="U6" s="1838" t="s">
        <v>9</v>
      </c>
      <c r="V6" s="2511">
        <f>XM.HN!D3</f>
        <v>8.1999999999999993</v>
      </c>
      <c r="W6" s="1833">
        <f>V6*4</f>
        <v>32.799999999999997</v>
      </c>
      <c r="X6" s="2460">
        <f>($G$6-W6)*2693/1000</f>
        <v>-7.540399999999992</v>
      </c>
      <c r="Y6" s="1835" t="s">
        <v>8</v>
      </c>
      <c r="Z6" s="1836">
        <f>IF(W6=0,0,IF(X6&lt;0,0,X6))</f>
        <v>0</v>
      </c>
      <c r="AA6" s="2034" t="str">
        <f>IF('1. XL-1E TT'!AJ6="","",'1. XL-1E TT'!AJ6)</f>
        <v/>
      </c>
      <c r="AB6" s="1838" t="s">
        <v>9</v>
      </c>
      <c r="AC6" s="2511">
        <f>XM.HN!E3</f>
        <v>8.4</v>
      </c>
      <c r="AD6" s="1833">
        <f>AC6*4</f>
        <v>33.6</v>
      </c>
      <c r="AE6" s="2460">
        <f>($G$6-AD6)*2693/1000</f>
        <v>-9.6948000000000043</v>
      </c>
      <c r="AF6" s="1835" t="s">
        <v>8</v>
      </c>
      <c r="AG6" s="1836">
        <f>IF(AD6=0,0,IF(AE6&lt;0,0,AE6))</f>
        <v>0</v>
      </c>
      <c r="AH6" s="2034" t="str">
        <f>IF('1. XL-1E TT(CA2)'!AB6="","",'1. XL-1E TT(CA2)'!AB6)</f>
        <v/>
      </c>
      <c r="AI6" s="1838" t="s">
        <v>9</v>
      </c>
      <c r="AJ6" s="2511">
        <f>XM.HN!F3</f>
        <v>8</v>
      </c>
      <c r="AK6" s="1833">
        <f>AJ6*4</f>
        <v>32</v>
      </c>
      <c r="AL6" s="2460">
        <f>($G$6-AK6)*2693/1000</f>
        <v>-5.3860000000000001</v>
      </c>
      <c r="AM6" s="1835" t="s">
        <v>8</v>
      </c>
      <c r="AN6" s="1836">
        <f>IF(AK6=0,0,IF(AL6&lt;0,0,AL6))</f>
        <v>0</v>
      </c>
      <c r="AO6" s="2034" t="str">
        <f>IF('1. XL-1E TT(CA2)'!AF6="","",'1. XL-1E TT(CA2)'!AF6)</f>
        <v/>
      </c>
      <c r="AP6" s="1838" t="s">
        <v>9</v>
      </c>
      <c r="AQ6" s="2511">
        <f>XM.HN!G3</f>
        <v>8.1999999999999993</v>
      </c>
      <c r="AR6" s="1833">
        <f>AQ6*4</f>
        <v>32.799999999999997</v>
      </c>
      <c r="AS6" s="2460">
        <f>($G$6-AR6)*2693/1000</f>
        <v>-7.540399999999992</v>
      </c>
      <c r="AT6" s="1835" t="s">
        <v>8</v>
      </c>
      <c r="AU6" s="1836">
        <f>IF(AR6=0,0,IF(AS6&lt;0,0,AS6))</f>
        <v>0</v>
      </c>
      <c r="AV6" s="2034" t="str">
        <f>IF('1. XL-1E TT(CA2)'!AJ6="","",'1. XL-1E TT(CA2)'!AJ6)</f>
        <v/>
      </c>
      <c r="AW6" s="1838" t="s">
        <v>9</v>
      </c>
      <c r="AY6" s="3354" t="s">
        <v>1520</v>
      </c>
    </row>
    <row r="7" spans="1:51" ht="37.5" customHeight="1">
      <c r="A7" s="1839"/>
      <c r="B7" s="1840"/>
      <c r="C7" s="1841" t="s">
        <v>100</v>
      </c>
      <c r="D7" s="1842"/>
      <c r="E7" s="1878" t="s">
        <v>101</v>
      </c>
      <c r="F7" s="1884"/>
      <c r="G7" s="2587"/>
      <c r="H7" s="2588"/>
      <c r="I7" s="1874"/>
      <c r="J7" s="2461"/>
      <c r="K7" s="1847" t="s">
        <v>8</v>
      </c>
      <c r="L7" s="1861">
        <f>L6/25*840/1000</f>
        <v>0</v>
      </c>
      <c r="M7" s="2035" t="str">
        <f>IF('1. XL-1E TT'!AB7="","",'1. XL-1E TT'!AB7)</f>
        <v/>
      </c>
      <c r="N7" s="1849" t="s">
        <v>10</v>
      </c>
      <c r="O7" s="2512"/>
      <c r="P7" s="1874"/>
      <c r="Q7" s="2461"/>
      <c r="R7" s="1847" t="s">
        <v>8</v>
      </c>
      <c r="S7" s="1861">
        <f>S6/25*840/1000</f>
        <v>0.30764831999999986</v>
      </c>
      <c r="T7" s="2035" t="str">
        <f>IF('1. XL-1E TT'!AF7="","",'1. XL-1E TT'!AF7)</f>
        <v/>
      </c>
      <c r="U7" s="1849" t="s">
        <v>10</v>
      </c>
      <c r="V7" s="2512"/>
      <c r="W7" s="1874"/>
      <c r="X7" s="2461"/>
      <c r="Y7" s="1847" t="s">
        <v>8</v>
      </c>
      <c r="Z7" s="1861">
        <f>Z6/25*840/1000</f>
        <v>0</v>
      </c>
      <c r="AA7" s="2035" t="str">
        <f>IF('1. XL-1E TT'!AJ7="","",'1. XL-1E TT'!AJ7)</f>
        <v/>
      </c>
      <c r="AB7" s="1849" t="s">
        <v>10</v>
      </c>
      <c r="AC7" s="2512"/>
      <c r="AD7" s="1874"/>
      <c r="AE7" s="2461"/>
      <c r="AF7" s="1847" t="s">
        <v>8</v>
      </c>
      <c r="AG7" s="1861">
        <f>AG6/25*840/1000</f>
        <v>0</v>
      </c>
      <c r="AH7" s="2035" t="str">
        <f>IF('1. XL-1E TT(CA2)'!AB7="","",'1. XL-1E TT(CA2)'!AB7)</f>
        <v/>
      </c>
      <c r="AI7" s="1849" t="s">
        <v>10</v>
      </c>
      <c r="AJ7" s="2512"/>
      <c r="AK7" s="1874"/>
      <c r="AL7" s="2461"/>
      <c r="AM7" s="1847" t="s">
        <v>8</v>
      </c>
      <c r="AN7" s="1861">
        <f>AN6/25*840/1000</f>
        <v>0</v>
      </c>
      <c r="AO7" s="2035" t="str">
        <f>IF('1. XL-1E TT(CA2)'!AF7="","",'1. XL-1E TT(CA2)'!AF7)</f>
        <v/>
      </c>
      <c r="AP7" s="1849" t="s">
        <v>10</v>
      </c>
      <c r="AQ7" s="2512"/>
      <c r="AR7" s="1874"/>
      <c r="AS7" s="2461"/>
      <c r="AT7" s="1847" t="s">
        <v>8</v>
      </c>
      <c r="AU7" s="1861">
        <f>AU6/25*840/1000</f>
        <v>0</v>
      </c>
      <c r="AV7" s="2035" t="str">
        <f>IF('1. XL-1E TT(CA2)'!AJ7="","",'1. XL-1E TT(CA2)'!AJ7)</f>
        <v/>
      </c>
      <c r="AW7" s="1849" t="s">
        <v>10</v>
      </c>
      <c r="AY7" s="3355"/>
    </row>
    <row r="8" spans="1:51" ht="37.5" customHeight="1">
      <c r="A8" s="1850"/>
      <c r="B8" s="1851"/>
      <c r="C8" s="1852" t="s">
        <v>102</v>
      </c>
      <c r="D8" s="1853"/>
      <c r="E8" s="1879" t="s">
        <v>101</v>
      </c>
      <c r="F8" s="1885"/>
      <c r="G8" s="2589"/>
      <c r="H8" s="2549"/>
      <c r="I8" s="1875"/>
      <c r="J8" s="2462"/>
      <c r="K8" s="1847" t="s">
        <v>8</v>
      </c>
      <c r="L8" s="1862">
        <f>L7*10</f>
        <v>0</v>
      </c>
      <c r="M8" s="2036" t="str">
        <f>IF('1. XL-1E TT'!AB8="","",'1. XL-1E TT'!AB8)</f>
        <v/>
      </c>
      <c r="N8" s="1860" t="s">
        <v>10</v>
      </c>
      <c r="O8" s="2513"/>
      <c r="P8" s="1875"/>
      <c r="Q8" s="2462"/>
      <c r="R8" s="1847" t="s">
        <v>8</v>
      </c>
      <c r="S8" s="1862">
        <f>S7*10</f>
        <v>3.0764831999999984</v>
      </c>
      <c r="T8" s="2036" t="str">
        <f>IF('1. XL-1E TT'!AF8="","",'1. XL-1E TT'!AF8)</f>
        <v/>
      </c>
      <c r="U8" s="1860" t="s">
        <v>10</v>
      </c>
      <c r="V8" s="2513"/>
      <c r="W8" s="1875"/>
      <c r="X8" s="2462"/>
      <c r="Y8" s="1847" t="s">
        <v>8</v>
      </c>
      <c r="Z8" s="1862">
        <f>Z7*10</f>
        <v>0</v>
      </c>
      <c r="AA8" s="2036" t="str">
        <f>IF('1. XL-1E TT'!AJ8="","",'1. XL-1E TT'!AJ8)</f>
        <v/>
      </c>
      <c r="AB8" s="1860" t="s">
        <v>10</v>
      </c>
      <c r="AC8" s="2513"/>
      <c r="AD8" s="1875"/>
      <c r="AE8" s="2462"/>
      <c r="AF8" s="1847" t="s">
        <v>8</v>
      </c>
      <c r="AG8" s="1862">
        <f>AG7*10</f>
        <v>0</v>
      </c>
      <c r="AH8" s="2036" t="str">
        <f>IF('1. XL-1E TT(CA2)'!AB8="","",'1. XL-1E TT(CA2)'!AB8)</f>
        <v/>
      </c>
      <c r="AI8" s="1860" t="s">
        <v>10</v>
      </c>
      <c r="AJ8" s="2513"/>
      <c r="AK8" s="1875"/>
      <c r="AL8" s="2462"/>
      <c r="AM8" s="1847" t="s">
        <v>8</v>
      </c>
      <c r="AN8" s="1862">
        <f>AN7*10</f>
        <v>0</v>
      </c>
      <c r="AO8" s="2036" t="str">
        <f>IF('1. XL-1E TT(CA2)'!AF8="","",'1. XL-1E TT(CA2)'!AF8)</f>
        <v/>
      </c>
      <c r="AP8" s="1860" t="s">
        <v>10</v>
      </c>
      <c r="AQ8" s="2513"/>
      <c r="AR8" s="1875"/>
      <c r="AS8" s="2462"/>
      <c r="AT8" s="1847" t="s">
        <v>8</v>
      </c>
      <c r="AU8" s="1862">
        <f>AU7*10</f>
        <v>0</v>
      </c>
      <c r="AV8" s="2036" t="str">
        <f>IF('1. XL-1E TT(CA2)'!AJ8="","",'1. XL-1E TT(CA2)'!AJ8)</f>
        <v/>
      </c>
      <c r="AW8" s="1860" t="s">
        <v>10</v>
      </c>
      <c r="AY8" s="3356"/>
    </row>
    <row r="9" spans="1:51" ht="37.5" customHeight="1">
      <c r="A9" s="1827" t="s">
        <v>238</v>
      </c>
      <c r="B9" s="1828" t="s">
        <v>214</v>
      </c>
      <c r="C9" s="1828" t="s">
        <v>77</v>
      </c>
      <c r="D9" s="1829" t="s">
        <v>4</v>
      </c>
      <c r="E9" s="1877" t="s">
        <v>1335</v>
      </c>
      <c r="F9" s="1883" t="s">
        <v>1313</v>
      </c>
      <c r="G9" s="2586">
        <v>30</v>
      </c>
      <c r="H9" s="2548">
        <f>XM.HN!B6</f>
        <v>0</v>
      </c>
      <c r="I9" s="1833">
        <f>H9*4</f>
        <v>0</v>
      </c>
      <c r="J9" s="2460">
        <f>($G$9-I9)*3305/1000</f>
        <v>99.15</v>
      </c>
      <c r="K9" s="1835" t="s">
        <v>8</v>
      </c>
      <c r="L9" s="1836">
        <f t="shared" ref="L9:L23" si="0">IF(I9=0,0,IF(J9&lt;0,0,J9))</f>
        <v>0</v>
      </c>
      <c r="M9" s="2034" t="str">
        <f>IF('1. XL-1E TT'!AB9="","",'1. XL-1E TT'!AB9)</f>
        <v/>
      </c>
      <c r="N9" s="1838" t="s">
        <v>9</v>
      </c>
      <c r="O9" s="2511">
        <f>XM.HN!C6</f>
        <v>7.75</v>
      </c>
      <c r="P9" s="1833">
        <f>O9*4</f>
        <v>31</v>
      </c>
      <c r="Q9" s="2460">
        <f>($G$9-P9)*3305/1000</f>
        <v>-3.3050000000000002</v>
      </c>
      <c r="R9" s="1835" t="s">
        <v>8</v>
      </c>
      <c r="S9" s="1836">
        <f t="shared" ref="S9:S23" si="1">IF(P9=0,0,IF(Q9&lt;0,0,Q9))</f>
        <v>0</v>
      </c>
      <c r="T9" s="2034" t="str">
        <f>IF('1. XL-1E TT'!AF9="","",'1. XL-1E TT'!AF9)</f>
        <v/>
      </c>
      <c r="U9" s="1838" t="s">
        <v>9</v>
      </c>
      <c r="V9" s="2511">
        <f>XM.HN!D6</f>
        <v>7.55</v>
      </c>
      <c r="W9" s="1833">
        <f>V9*4</f>
        <v>30.2</v>
      </c>
      <c r="X9" s="2460">
        <f>($G$9-W9)*3305/1000</f>
        <v>-0.66099999999999759</v>
      </c>
      <c r="Y9" s="1835" t="s">
        <v>8</v>
      </c>
      <c r="Z9" s="1836">
        <f t="shared" ref="Z9:Z23" si="2">IF(W9=0,0,IF(X9&lt;0,0,X9))</f>
        <v>0</v>
      </c>
      <c r="AA9" s="2034" t="str">
        <f>IF('1. XL-1E TT'!AJ9="","",'1. XL-1E TT'!AJ9)</f>
        <v/>
      </c>
      <c r="AB9" s="1838" t="s">
        <v>9</v>
      </c>
      <c r="AC9" s="2511">
        <f>XM.HN!E6</f>
        <v>7.8</v>
      </c>
      <c r="AD9" s="1833">
        <f>AC9*4</f>
        <v>31.2</v>
      </c>
      <c r="AE9" s="2460">
        <f>($G$9-AD9)*3305/1000</f>
        <v>-3.9659999999999975</v>
      </c>
      <c r="AF9" s="1835" t="s">
        <v>8</v>
      </c>
      <c r="AG9" s="1836">
        <f t="shared" ref="AG9:AG23" si="3">IF(AD9=0,0,IF(AE9&lt;0,0,AE9))</f>
        <v>0</v>
      </c>
      <c r="AH9" s="2034" t="str">
        <f>IF('1. XL-1E TT(CA2)'!AB9="","",'1. XL-1E TT(CA2)'!AB9)</f>
        <v/>
      </c>
      <c r="AI9" s="1838" t="s">
        <v>9</v>
      </c>
      <c r="AJ9" s="2511">
        <f>XM.HN!F6</f>
        <v>8</v>
      </c>
      <c r="AK9" s="1833">
        <f>AJ9*4</f>
        <v>32</v>
      </c>
      <c r="AL9" s="2460">
        <f>($G$9-AK9)*3305/1000</f>
        <v>-6.61</v>
      </c>
      <c r="AM9" s="1835" t="s">
        <v>8</v>
      </c>
      <c r="AN9" s="1836">
        <f t="shared" ref="AN9:AN23" si="4">IF(AK9=0,0,IF(AL9&lt;0,0,AL9))</f>
        <v>0</v>
      </c>
      <c r="AO9" s="2034" t="str">
        <f>IF('1. XL-1E TT(CA2)'!AF9="","",'1. XL-1E TT(CA2)'!AF9)</f>
        <v/>
      </c>
      <c r="AP9" s="1838" t="s">
        <v>9</v>
      </c>
      <c r="AQ9" s="2511">
        <f>XM.HN!G6</f>
        <v>8</v>
      </c>
      <c r="AR9" s="1833">
        <f>AQ9*4</f>
        <v>32</v>
      </c>
      <c r="AS9" s="2460">
        <f>($G$9-AR9)*3305/1000</f>
        <v>-6.61</v>
      </c>
      <c r="AT9" s="1835" t="s">
        <v>8</v>
      </c>
      <c r="AU9" s="1836">
        <f t="shared" ref="AU9:AU23" si="5">IF(AR9=0,0,IF(AS9&lt;0,0,AS9))</f>
        <v>0</v>
      </c>
      <c r="AV9" s="2034" t="str">
        <f>IF('1. XL-1E TT(CA2)'!AJ9="","",'1. XL-1E TT(CA2)'!AJ9)</f>
        <v/>
      </c>
      <c r="AW9" s="1838" t="s">
        <v>9</v>
      </c>
      <c r="AY9" s="3354"/>
    </row>
    <row r="10" spans="1:51" ht="37.5" customHeight="1">
      <c r="A10" s="1839"/>
      <c r="B10" s="1840"/>
      <c r="C10" s="1841" t="s">
        <v>100</v>
      </c>
      <c r="D10" s="1842"/>
      <c r="E10" s="1878" t="s">
        <v>101</v>
      </c>
      <c r="F10" s="1884"/>
      <c r="G10" s="2587"/>
      <c r="H10" s="2588"/>
      <c r="I10" s="1874"/>
      <c r="J10" s="2461"/>
      <c r="K10" s="1847" t="s">
        <v>8</v>
      </c>
      <c r="L10" s="1861">
        <f>L9/25*840/1000</f>
        <v>0</v>
      </c>
      <c r="M10" s="2035" t="str">
        <f>IF('1. XL-1E TT'!AB10="","",'1. XL-1E TT'!AB10)</f>
        <v/>
      </c>
      <c r="N10" s="1849" t="s">
        <v>10</v>
      </c>
      <c r="O10" s="2512"/>
      <c r="P10" s="1874"/>
      <c r="Q10" s="2461"/>
      <c r="R10" s="1847" t="s">
        <v>8</v>
      </c>
      <c r="S10" s="1861">
        <f>S9/25*840/1000</f>
        <v>0</v>
      </c>
      <c r="T10" s="2035" t="str">
        <f>IF('1. XL-1E TT'!AF10="","",'1. XL-1E TT'!AF10)</f>
        <v/>
      </c>
      <c r="U10" s="1849" t="s">
        <v>10</v>
      </c>
      <c r="V10" s="2512"/>
      <c r="W10" s="1874"/>
      <c r="X10" s="2461"/>
      <c r="Y10" s="1847" t="s">
        <v>8</v>
      </c>
      <c r="Z10" s="1861">
        <f>Z9/25*840/1000</f>
        <v>0</v>
      </c>
      <c r="AA10" s="2035" t="str">
        <f>IF('1. XL-1E TT'!AJ10="","",'1. XL-1E TT'!AJ10)</f>
        <v/>
      </c>
      <c r="AB10" s="1849" t="s">
        <v>10</v>
      </c>
      <c r="AC10" s="2512"/>
      <c r="AD10" s="1874"/>
      <c r="AE10" s="2461"/>
      <c r="AF10" s="1847" t="s">
        <v>8</v>
      </c>
      <c r="AG10" s="1861">
        <f>AG9/25*840/1000</f>
        <v>0</v>
      </c>
      <c r="AH10" s="2035" t="str">
        <f>IF('1. XL-1E TT(CA2)'!AB10="","",'1. XL-1E TT(CA2)'!AB10)</f>
        <v/>
      </c>
      <c r="AI10" s="1849" t="s">
        <v>10</v>
      </c>
      <c r="AJ10" s="2512"/>
      <c r="AK10" s="1874"/>
      <c r="AL10" s="2461"/>
      <c r="AM10" s="1847" t="s">
        <v>8</v>
      </c>
      <c r="AN10" s="1861">
        <f>AN9/25*840/1000</f>
        <v>0</v>
      </c>
      <c r="AO10" s="2035" t="str">
        <f>IF('1. XL-1E TT(CA2)'!AF10="","",'1. XL-1E TT(CA2)'!AF10)</f>
        <v/>
      </c>
      <c r="AP10" s="1849" t="s">
        <v>10</v>
      </c>
      <c r="AQ10" s="2512"/>
      <c r="AR10" s="1874"/>
      <c r="AS10" s="2461"/>
      <c r="AT10" s="1847" t="s">
        <v>8</v>
      </c>
      <c r="AU10" s="1861">
        <f>AU9/25*840/1000</f>
        <v>0</v>
      </c>
      <c r="AV10" s="2035" t="str">
        <f>IF('1. XL-1E TT(CA2)'!AJ10="","",'1. XL-1E TT(CA2)'!AJ10)</f>
        <v/>
      </c>
      <c r="AW10" s="1849" t="s">
        <v>10</v>
      </c>
      <c r="AY10" s="3355"/>
    </row>
    <row r="11" spans="1:51" ht="37.5" customHeight="1">
      <c r="A11" s="1850"/>
      <c r="B11" s="1851"/>
      <c r="C11" s="1852" t="s">
        <v>102</v>
      </c>
      <c r="D11" s="1853"/>
      <c r="E11" s="1879" t="s">
        <v>101</v>
      </c>
      <c r="F11" s="1885"/>
      <c r="G11" s="2589"/>
      <c r="H11" s="2549"/>
      <c r="I11" s="1875"/>
      <c r="J11" s="2462"/>
      <c r="K11" s="1847" t="s">
        <v>8</v>
      </c>
      <c r="L11" s="1862">
        <f>L10*10</f>
        <v>0</v>
      </c>
      <c r="M11" s="2036" t="str">
        <f>IF('1. XL-1E TT'!AB11="","",'1. XL-1E TT'!AB11)</f>
        <v/>
      </c>
      <c r="N11" s="1860" t="s">
        <v>10</v>
      </c>
      <c r="O11" s="2513"/>
      <c r="P11" s="1875"/>
      <c r="Q11" s="2462"/>
      <c r="R11" s="1847" t="s">
        <v>8</v>
      </c>
      <c r="S11" s="1862">
        <f>S10*10</f>
        <v>0</v>
      </c>
      <c r="T11" s="2036" t="str">
        <f>IF('1. XL-1E TT'!AF11="","",'1. XL-1E TT'!AF11)</f>
        <v/>
      </c>
      <c r="U11" s="1860" t="s">
        <v>10</v>
      </c>
      <c r="V11" s="2513"/>
      <c r="W11" s="1875"/>
      <c r="X11" s="2462"/>
      <c r="Y11" s="1847" t="s">
        <v>8</v>
      </c>
      <c r="Z11" s="1862">
        <f>Z10*10</f>
        <v>0</v>
      </c>
      <c r="AA11" s="2036" t="str">
        <f>IF('1. XL-1E TT'!AJ11="","",'1. XL-1E TT'!AJ11)</f>
        <v/>
      </c>
      <c r="AB11" s="1860" t="s">
        <v>10</v>
      </c>
      <c r="AC11" s="2513"/>
      <c r="AD11" s="1875"/>
      <c r="AE11" s="2462"/>
      <c r="AF11" s="1847" t="s">
        <v>8</v>
      </c>
      <c r="AG11" s="1862">
        <f>AG10*10</f>
        <v>0</v>
      </c>
      <c r="AH11" s="2036" t="str">
        <f>IF('1. XL-1E TT(CA2)'!AB11="","",'1. XL-1E TT(CA2)'!AB11)</f>
        <v/>
      </c>
      <c r="AI11" s="1860" t="s">
        <v>10</v>
      </c>
      <c r="AJ11" s="2513"/>
      <c r="AK11" s="1875"/>
      <c r="AL11" s="2462"/>
      <c r="AM11" s="1847" t="s">
        <v>8</v>
      </c>
      <c r="AN11" s="1862">
        <f>AN10*10</f>
        <v>0</v>
      </c>
      <c r="AO11" s="2036" t="str">
        <f>IF('1. XL-1E TT(CA2)'!AF11="","",'1. XL-1E TT(CA2)'!AF11)</f>
        <v/>
      </c>
      <c r="AP11" s="1860" t="s">
        <v>10</v>
      </c>
      <c r="AQ11" s="2513"/>
      <c r="AR11" s="1875"/>
      <c r="AS11" s="2462"/>
      <c r="AT11" s="1847" t="s">
        <v>8</v>
      </c>
      <c r="AU11" s="1862">
        <f>AU10*10</f>
        <v>0</v>
      </c>
      <c r="AV11" s="2036" t="str">
        <f>IF('1. XL-1E TT(CA2)'!AJ11="","",'1. XL-1E TT(CA2)'!AJ11)</f>
        <v/>
      </c>
      <c r="AW11" s="1860" t="s">
        <v>10</v>
      </c>
      <c r="AY11" s="3356"/>
    </row>
    <row r="12" spans="1:51" ht="37.5" customHeight="1">
      <c r="A12" s="1827" t="s">
        <v>239</v>
      </c>
      <c r="B12" s="1828" t="s">
        <v>214</v>
      </c>
      <c r="C12" s="1828" t="s">
        <v>48</v>
      </c>
      <c r="D12" s="1829" t="s">
        <v>4</v>
      </c>
      <c r="E12" s="1877" t="s">
        <v>1322</v>
      </c>
      <c r="F12" s="1883" t="s">
        <v>1318</v>
      </c>
      <c r="G12" s="2586">
        <v>70</v>
      </c>
      <c r="H12" s="2548">
        <f>XM.HN!B9</f>
        <v>0</v>
      </c>
      <c r="I12" s="1863">
        <f>H12*4</f>
        <v>0</v>
      </c>
      <c r="J12" s="2460">
        <f>($G$12-I12)*1156/1000</f>
        <v>80.92</v>
      </c>
      <c r="K12" s="1835" t="s">
        <v>8</v>
      </c>
      <c r="L12" s="1836">
        <f t="shared" si="0"/>
        <v>0</v>
      </c>
      <c r="M12" s="2034" t="str">
        <f>IF('1. XL-1E TT'!AB12="","",'1. XL-1E TT'!AB12)</f>
        <v/>
      </c>
      <c r="N12" s="1838" t="s">
        <v>9</v>
      </c>
      <c r="O12" s="2511">
        <f>XM.HN!C9</f>
        <v>19.25</v>
      </c>
      <c r="P12" s="1863">
        <f>O12*4</f>
        <v>77</v>
      </c>
      <c r="Q12" s="2460">
        <f>($G$12-P12)*1156/1000</f>
        <v>-8.0920000000000005</v>
      </c>
      <c r="R12" s="1835" t="s">
        <v>8</v>
      </c>
      <c r="S12" s="1836">
        <f t="shared" si="1"/>
        <v>0</v>
      </c>
      <c r="T12" s="2034" t="str">
        <f>IF('1. XL-1E TT'!AF12="","",'1. XL-1E TT'!AF12)</f>
        <v/>
      </c>
      <c r="U12" s="1838" t="s">
        <v>9</v>
      </c>
      <c r="V12" s="2511">
        <f>XM.HN!D9</f>
        <v>19.5</v>
      </c>
      <c r="W12" s="1863">
        <f>V12*4</f>
        <v>78</v>
      </c>
      <c r="X12" s="2460">
        <f>($G$12-W12)*1156/1000</f>
        <v>-9.2479999999999993</v>
      </c>
      <c r="Y12" s="1835" t="s">
        <v>8</v>
      </c>
      <c r="Z12" s="1836">
        <f t="shared" si="2"/>
        <v>0</v>
      </c>
      <c r="AA12" s="2034" t="str">
        <f>IF('1. XL-1E TT'!AJ12="","",'1. XL-1E TT'!AJ12)</f>
        <v/>
      </c>
      <c r="AB12" s="1838" t="s">
        <v>9</v>
      </c>
      <c r="AC12" s="2511">
        <f>XM.HN!E9</f>
        <v>18.8</v>
      </c>
      <c r="AD12" s="1863">
        <f>AC12*4</f>
        <v>75.2</v>
      </c>
      <c r="AE12" s="2460">
        <f>($G$12-AD12)*1156/1000</f>
        <v>-6.0112000000000032</v>
      </c>
      <c r="AF12" s="1835" t="s">
        <v>8</v>
      </c>
      <c r="AG12" s="1836">
        <f t="shared" si="3"/>
        <v>0</v>
      </c>
      <c r="AH12" s="2034" t="str">
        <f>IF('1. XL-1E TT(CA2)'!AB12="","",'1. XL-1E TT(CA2)'!AB12)</f>
        <v/>
      </c>
      <c r="AI12" s="1838" t="s">
        <v>9</v>
      </c>
      <c r="AJ12" s="2511">
        <f>XM.HN!F9</f>
        <v>19.8</v>
      </c>
      <c r="AK12" s="1863">
        <f>AJ12*4</f>
        <v>79.2</v>
      </c>
      <c r="AL12" s="2460">
        <f>($G$12-AK12)*1156/1000</f>
        <v>-10.635200000000003</v>
      </c>
      <c r="AM12" s="1835" t="s">
        <v>8</v>
      </c>
      <c r="AN12" s="1836">
        <f t="shared" si="4"/>
        <v>0</v>
      </c>
      <c r="AO12" s="2034" t="str">
        <f>IF('1. XL-1E TT(CA2)'!AF12="","",'1. XL-1E TT(CA2)'!AF12)</f>
        <v/>
      </c>
      <c r="AP12" s="1838" t="s">
        <v>9</v>
      </c>
      <c r="AQ12" s="2511">
        <f>XM.HN!G9</f>
        <v>19.7</v>
      </c>
      <c r="AR12" s="1863">
        <f>AQ12*4</f>
        <v>78.8</v>
      </c>
      <c r="AS12" s="2460">
        <f>($G$12-AR12)*1156/1000</f>
        <v>-10.172799999999997</v>
      </c>
      <c r="AT12" s="1835" t="s">
        <v>8</v>
      </c>
      <c r="AU12" s="1836">
        <f t="shared" si="5"/>
        <v>0</v>
      </c>
      <c r="AV12" s="2034" t="str">
        <f>IF('1. XL-1E TT(CA2)'!AJ12="","",'1. XL-1E TT(CA2)'!AJ12)</f>
        <v/>
      </c>
      <c r="AW12" s="1838" t="s">
        <v>9</v>
      </c>
      <c r="AY12" s="3354"/>
    </row>
    <row r="13" spans="1:51" ht="37.5" customHeight="1">
      <c r="A13" s="1850"/>
      <c r="B13" s="1851"/>
      <c r="C13" s="1864" t="s">
        <v>103</v>
      </c>
      <c r="D13" s="1853"/>
      <c r="E13" s="1879" t="s">
        <v>101</v>
      </c>
      <c r="F13" s="1885"/>
      <c r="G13" s="2589"/>
      <c r="H13" s="2549"/>
      <c r="I13" s="1876"/>
      <c r="J13" s="2462"/>
      <c r="K13" s="1858" t="s">
        <v>8</v>
      </c>
      <c r="L13" s="1862">
        <f>L12/25*7.5</f>
        <v>0</v>
      </c>
      <c r="M13" s="2036" t="str">
        <f>IF('1. XL-1E TT'!AB13="","",'1. XL-1E TT'!AB13)</f>
        <v/>
      </c>
      <c r="N13" s="1860" t="s">
        <v>10</v>
      </c>
      <c r="O13" s="2513"/>
      <c r="P13" s="1876"/>
      <c r="Q13" s="2462"/>
      <c r="R13" s="1858" t="s">
        <v>8</v>
      </c>
      <c r="S13" s="1862">
        <f>S12/25*7.5</f>
        <v>0</v>
      </c>
      <c r="T13" s="2036" t="str">
        <f>IF('1. XL-1E TT'!AF13="","",'1. XL-1E TT'!AF13)</f>
        <v/>
      </c>
      <c r="U13" s="1860" t="s">
        <v>10</v>
      </c>
      <c r="V13" s="2513"/>
      <c r="W13" s="1876"/>
      <c r="X13" s="2462"/>
      <c r="Y13" s="1858" t="s">
        <v>8</v>
      </c>
      <c r="Z13" s="1862">
        <f>Z12/25*7.5</f>
        <v>0</v>
      </c>
      <c r="AA13" s="2036" t="str">
        <f>IF('1. XL-1E TT'!AJ13="","",'1. XL-1E TT'!AJ13)</f>
        <v/>
      </c>
      <c r="AB13" s="1860" t="s">
        <v>10</v>
      </c>
      <c r="AC13" s="2513"/>
      <c r="AD13" s="1876"/>
      <c r="AE13" s="2462"/>
      <c r="AF13" s="1858" t="s">
        <v>8</v>
      </c>
      <c r="AG13" s="1862">
        <f>AG12/25*7.5</f>
        <v>0</v>
      </c>
      <c r="AH13" s="2036" t="str">
        <f>IF('1. XL-1E TT(CA2)'!AB13="","",'1. XL-1E TT(CA2)'!AB13)</f>
        <v/>
      </c>
      <c r="AI13" s="1860" t="s">
        <v>10</v>
      </c>
      <c r="AJ13" s="2513"/>
      <c r="AK13" s="1876"/>
      <c r="AL13" s="2462"/>
      <c r="AM13" s="1858" t="s">
        <v>8</v>
      </c>
      <c r="AN13" s="1862">
        <f>AN12/25*7.5</f>
        <v>0</v>
      </c>
      <c r="AO13" s="2036" t="str">
        <f>IF('1. XL-1E TT(CA2)'!AF13="","",'1. XL-1E TT(CA2)'!AF13)</f>
        <v/>
      </c>
      <c r="AP13" s="1860" t="s">
        <v>10</v>
      </c>
      <c r="AQ13" s="2513"/>
      <c r="AR13" s="1876"/>
      <c r="AS13" s="2462"/>
      <c r="AT13" s="1858" t="s">
        <v>8</v>
      </c>
      <c r="AU13" s="1862">
        <f>AU12/25*7.5</f>
        <v>0</v>
      </c>
      <c r="AV13" s="2036" t="str">
        <f>IF('1. XL-1E TT(CA2)'!AJ13="","",'1. XL-1E TT(CA2)'!AJ13)</f>
        <v/>
      </c>
      <c r="AW13" s="1860" t="s">
        <v>10</v>
      </c>
      <c r="AY13" s="3355"/>
    </row>
    <row r="14" spans="1:51" ht="37.5" customHeight="1">
      <c r="A14" s="1827" t="s">
        <v>240</v>
      </c>
      <c r="B14" s="1828" t="s">
        <v>214</v>
      </c>
      <c r="C14" s="1828" t="s">
        <v>49</v>
      </c>
      <c r="D14" s="1829" t="s">
        <v>4</v>
      </c>
      <c r="E14" s="1877" t="s">
        <v>1322</v>
      </c>
      <c r="F14" s="1883" t="s">
        <v>1318</v>
      </c>
      <c r="G14" s="2586">
        <v>70</v>
      </c>
      <c r="H14" s="2548">
        <f>XM.HN!B11</f>
        <v>0</v>
      </c>
      <c r="I14" s="1863">
        <f>H14*4</f>
        <v>0</v>
      </c>
      <c r="J14" s="2460">
        <f>($G$14-I14)*1459/1000</f>
        <v>102.13</v>
      </c>
      <c r="K14" s="1835" t="s">
        <v>8</v>
      </c>
      <c r="L14" s="1836">
        <f t="shared" si="0"/>
        <v>0</v>
      </c>
      <c r="M14" s="2034" t="str">
        <f>IF('1. XL-1E TT'!AB14="","",'1. XL-1E TT'!AB14)</f>
        <v/>
      </c>
      <c r="N14" s="1838" t="s">
        <v>9</v>
      </c>
      <c r="O14" s="2511">
        <f>XM.HN!C11</f>
        <v>18.149999999999999</v>
      </c>
      <c r="P14" s="1863">
        <f>O14*4</f>
        <v>72.599999999999994</v>
      </c>
      <c r="Q14" s="2460">
        <f>($G$14-P14)*1459/1000</f>
        <v>-3.7933999999999921</v>
      </c>
      <c r="R14" s="1835" t="s">
        <v>8</v>
      </c>
      <c r="S14" s="1836">
        <f t="shared" si="1"/>
        <v>0</v>
      </c>
      <c r="T14" s="2034" t="str">
        <f>IF('1. XL-1E TT'!AF14="","",'1. XL-1E TT'!AF14)</f>
        <v/>
      </c>
      <c r="U14" s="1838" t="s">
        <v>9</v>
      </c>
      <c r="V14" s="2511">
        <f>XM.HN!D11</f>
        <v>18.100000000000001</v>
      </c>
      <c r="W14" s="1863">
        <f>V14*4</f>
        <v>72.400000000000006</v>
      </c>
      <c r="X14" s="2460">
        <f>($G$14-W14)*1459/1000</f>
        <v>-3.5016000000000083</v>
      </c>
      <c r="Y14" s="1835" t="s">
        <v>8</v>
      </c>
      <c r="Z14" s="1836">
        <f t="shared" si="2"/>
        <v>0</v>
      </c>
      <c r="AA14" s="2034" t="str">
        <f>IF('1. XL-1E TT'!AJ14="","",'1. XL-1E TT'!AJ14)</f>
        <v/>
      </c>
      <c r="AB14" s="1838" t="s">
        <v>9</v>
      </c>
      <c r="AC14" s="2511">
        <f>XM.HN!E11</f>
        <v>17.3</v>
      </c>
      <c r="AD14" s="1863">
        <f>AC14*4</f>
        <v>69.2</v>
      </c>
      <c r="AE14" s="2460">
        <f>($G$14-AD14)*1459/1000</f>
        <v>1.167199999999996</v>
      </c>
      <c r="AF14" s="1835" t="s">
        <v>8</v>
      </c>
      <c r="AG14" s="1836">
        <f t="shared" si="3"/>
        <v>1.167199999999996</v>
      </c>
      <c r="AH14" s="2034" t="str">
        <f>IF('1. XL-1E TT(CA2)'!AB14="","",'1. XL-1E TT(CA2)'!AB14)</f>
        <v>Có</v>
      </c>
      <c r="AI14" s="1838" t="s">
        <v>9</v>
      </c>
      <c r="AJ14" s="2511">
        <f>XM.HN!F11</f>
        <v>17</v>
      </c>
      <c r="AK14" s="1863">
        <f>AJ14*4</f>
        <v>68</v>
      </c>
      <c r="AL14" s="2460">
        <f>($G$14-AK14)*1459/1000</f>
        <v>2.9180000000000001</v>
      </c>
      <c r="AM14" s="1835" t="s">
        <v>8</v>
      </c>
      <c r="AN14" s="1836">
        <f t="shared" si="4"/>
        <v>2.9180000000000001</v>
      </c>
      <c r="AO14" s="2034" t="str">
        <f>IF('1. XL-1E TT(CA2)'!AF14="","",'1. XL-1E TT(CA2)'!AF14)</f>
        <v/>
      </c>
      <c r="AP14" s="1838" t="s">
        <v>9</v>
      </c>
      <c r="AQ14" s="2511">
        <f>XM.HN!G11</f>
        <v>17</v>
      </c>
      <c r="AR14" s="1863">
        <f>AQ14*4</f>
        <v>68</v>
      </c>
      <c r="AS14" s="2460">
        <f>($G$14-AR14)*1459/1000</f>
        <v>2.9180000000000001</v>
      </c>
      <c r="AT14" s="1835" t="s">
        <v>8</v>
      </c>
      <c r="AU14" s="1836">
        <f t="shared" si="5"/>
        <v>2.9180000000000001</v>
      </c>
      <c r="AV14" s="2034" t="str">
        <f>IF('1. XL-1E TT(CA2)'!AJ14="","",'1. XL-1E TT(CA2)'!AJ14)</f>
        <v/>
      </c>
      <c r="AW14" s="1838" t="s">
        <v>9</v>
      </c>
      <c r="AY14" s="3354"/>
    </row>
    <row r="15" spans="1:51" ht="37.5" customHeight="1">
      <c r="A15" s="1850"/>
      <c r="B15" s="1851"/>
      <c r="C15" s="1864" t="s">
        <v>103</v>
      </c>
      <c r="D15" s="1853"/>
      <c r="E15" s="1879" t="s">
        <v>101</v>
      </c>
      <c r="F15" s="1885"/>
      <c r="G15" s="2589"/>
      <c r="H15" s="2549"/>
      <c r="I15" s="1875"/>
      <c r="J15" s="2462"/>
      <c r="K15" s="1858" t="s">
        <v>8</v>
      </c>
      <c r="L15" s="1862">
        <f>L14/25*7.5</f>
        <v>0</v>
      </c>
      <c r="M15" s="2036" t="str">
        <f>IF('1. XL-1E TT'!AB15="","",'1. XL-1E TT'!AB15)</f>
        <v/>
      </c>
      <c r="N15" s="1860" t="s">
        <v>10</v>
      </c>
      <c r="O15" s="2513"/>
      <c r="P15" s="1875"/>
      <c r="Q15" s="2462"/>
      <c r="R15" s="1858" t="s">
        <v>8</v>
      </c>
      <c r="S15" s="1862">
        <f>S14/25*7.5</f>
        <v>0</v>
      </c>
      <c r="T15" s="2036" t="str">
        <f>IF('1. XL-1E TT'!AF15="","",'1. XL-1E TT'!AF15)</f>
        <v/>
      </c>
      <c r="U15" s="1860" t="s">
        <v>10</v>
      </c>
      <c r="V15" s="2513"/>
      <c r="W15" s="1875"/>
      <c r="X15" s="2462"/>
      <c r="Y15" s="1858" t="s">
        <v>8</v>
      </c>
      <c r="Z15" s="1862">
        <f>Z14/25*7.5</f>
        <v>0</v>
      </c>
      <c r="AA15" s="2036" t="str">
        <f>IF('1. XL-1E TT'!AJ15="","",'1. XL-1E TT'!AJ15)</f>
        <v/>
      </c>
      <c r="AB15" s="1860" t="s">
        <v>10</v>
      </c>
      <c r="AC15" s="2513"/>
      <c r="AD15" s="1875"/>
      <c r="AE15" s="2462"/>
      <c r="AF15" s="1858" t="s">
        <v>8</v>
      </c>
      <c r="AG15" s="1862">
        <f>AG14/25*7.5</f>
        <v>0.35015999999999881</v>
      </c>
      <c r="AH15" s="2036" t="str">
        <f>IF('1. XL-1E TT(CA2)'!AB15="","",'1. XL-1E TT(CA2)'!AB15)</f>
        <v/>
      </c>
      <c r="AI15" s="1860" t="s">
        <v>10</v>
      </c>
      <c r="AJ15" s="2513"/>
      <c r="AK15" s="1875"/>
      <c r="AL15" s="2462"/>
      <c r="AM15" s="1858" t="s">
        <v>8</v>
      </c>
      <c r="AN15" s="1862">
        <f>AN14/25*7.5</f>
        <v>0.87540000000000007</v>
      </c>
      <c r="AO15" s="2036" t="str">
        <f>IF('1. XL-1E TT(CA2)'!AF15="","",'1. XL-1E TT(CA2)'!AF15)</f>
        <v/>
      </c>
      <c r="AP15" s="1860" t="s">
        <v>10</v>
      </c>
      <c r="AQ15" s="2513"/>
      <c r="AR15" s="1875"/>
      <c r="AS15" s="2462"/>
      <c r="AT15" s="1858" t="s">
        <v>8</v>
      </c>
      <c r="AU15" s="1862">
        <f>AU14/25*7.5</f>
        <v>0.87540000000000007</v>
      </c>
      <c r="AV15" s="2036" t="str">
        <f>IF('1. XL-1E TT(CA2)'!AJ15="","",'1. XL-1E TT(CA2)'!AJ15)</f>
        <v/>
      </c>
      <c r="AW15" s="1860" t="s">
        <v>10</v>
      </c>
      <c r="AY15" s="3355"/>
    </row>
    <row r="16" spans="1:51" ht="40.5" customHeight="1">
      <c r="A16" s="1711" t="s">
        <v>241</v>
      </c>
      <c r="B16" s="1031" t="s">
        <v>214</v>
      </c>
      <c r="C16" s="1029" t="s">
        <v>55</v>
      </c>
      <c r="D16" s="1035" t="s">
        <v>4</v>
      </c>
      <c r="E16" s="14" t="s">
        <v>1323</v>
      </c>
      <c r="F16" s="1886" t="s">
        <v>1509</v>
      </c>
      <c r="G16" s="2893">
        <v>140</v>
      </c>
      <c r="H16" s="2514">
        <f>XM.HN!B13</f>
        <v>0</v>
      </c>
      <c r="I16" s="1755">
        <f>H16*8</f>
        <v>0</v>
      </c>
      <c r="J16" s="2625">
        <f>($G$16-I16)*19951/1000</f>
        <v>2793.14</v>
      </c>
      <c r="K16" s="1756" t="s">
        <v>8</v>
      </c>
      <c r="L16" s="1757">
        <f t="shared" si="0"/>
        <v>0</v>
      </c>
      <c r="M16" s="2037" t="str">
        <f>IF('1. XL-1E TT'!AB16="","",'1. XL-1E TT'!AB16)</f>
        <v/>
      </c>
      <c r="N16" s="1760" t="s">
        <v>9</v>
      </c>
      <c r="O16" s="2632">
        <f>XM.HN!C13</f>
        <v>16.7</v>
      </c>
      <c r="P16" s="1726">
        <f>O16*8</f>
        <v>133.6</v>
      </c>
      <c r="Q16" s="2625">
        <f>($G$16-P16)*19951/1000</f>
        <v>127.68640000000011</v>
      </c>
      <c r="R16" s="1756" t="s">
        <v>8</v>
      </c>
      <c r="S16" s="1757">
        <f t="shared" si="1"/>
        <v>127.68640000000011</v>
      </c>
      <c r="T16" s="2037" t="str">
        <f>IF('1. XL-1E TT'!AF16="","",'1. XL-1E TT'!AF16)</f>
        <v/>
      </c>
      <c r="U16" s="1760" t="s">
        <v>9</v>
      </c>
      <c r="V16" s="2632">
        <f>XM.HN!D13</f>
        <v>17.600000000000001</v>
      </c>
      <c r="W16" s="1755">
        <f>V16*8</f>
        <v>140.80000000000001</v>
      </c>
      <c r="X16" s="2625">
        <f>($G$16-W16)*19951/1000</f>
        <v>-15.960800000000226</v>
      </c>
      <c r="Y16" s="1756" t="s">
        <v>8</v>
      </c>
      <c r="Z16" s="1757">
        <f t="shared" si="2"/>
        <v>0</v>
      </c>
      <c r="AA16" s="2037" t="str">
        <f>IF('1. XL-1E TT'!AJ16="","",'1. XL-1E TT'!AJ16)</f>
        <v/>
      </c>
      <c r="AB16" s="1760" t="s">
        <v>9</v>
      </c>
      <c r="AC16" s="2632">
        <f>XM.HN!E13</f>
        <v>17.899999999999999</v>
      </c>
      <c r="AD16" s="1755">
        <f>AC16*8</f>
        <v>143.19999999999999</v>
      </c>
      <c r="AE16" s="2625">
        <f>($G$16-AD16)*19951/1000</f>
        <v>-63.843199999999769</v>
      </c>
      <c r="AF16" s="1756" t="s">
        <v>8</v>
      </c>
      <c r="AG16" s="1757">
        <f t="shared" si="3"/>
        <v>0</v>
      </c>
      <c r="AH16" s="2037" t="str">
        <f>IF('1. XL-1E TT(CA2)'!AB16="","",'1. XL-1E TT(CA2)'!AB16)</f>
        <v/>
      </c>
      <c r="AI16" s="1760" t="s">
        <v>9</v>
      </c>
      <c r="AJ16" s="2632">
        <f>XM.HN!F13</f>
        <v>17.8</v>
      </c>
      <c r="AK16" s="1755">
        <f>AJ16*8</f>
        <v>142.4</v>
      </c>
      <c r="AL16" s="2625">
        <f>($G$16-AK16)*19951/1000</f>
        <v>-47.882400000000111</v>
      </c>
      <c r="AM16" s="1756" t="s">
        <v>8</v>
      </c>
      <c r="AN16" s="1757">
        <f t="shared" si="4"/>
        <v>0</v>
      </c>
      <c r="AO16" s="2037" t="str">
        <f>IF('1. XL-1E TT(CA2)'!AF16="","",'1. XL-1E TT(CA2)'!AF16)</f>
        <v/>
      </c>
      <c r="AP16" s="1760" t="s">
        <v>9</v>
      </c>
      <c r="AQ16" s="2632">
        <f>XM.HN!G13</f>
        <v>17.8</v>
      </c>
      <c r="AR16" s="1755">
        <f>AQ16*8</f>
        <v>142.4</v>
      </c>
      <c r="AS16" s="2625">
        <f>($G$16-AR16)*19951/1000</f>
        <v>-47.882400000000111</v>
      </c>
      <c r="AT16" s="1756" t="s">
        <v>8</v>
      </c>
      <c r="AU16" s="1757">
        <f t="shared" si="5"/>
        <v>0</v>
      </c>
      <c r="AV16" s="2037" t="str">
        <f>IF('1. XL-1E TT(CA2)'!AJ16="","",'1. XL-1E TT(CA2)'!AJ16)</f>
        <v/>
      </c>
      <c r="AW16" s="1760" t="s">
        <v>9</v>
      </c>
      <c r="AY16" s="2158"/>
    </row>
    <row r="17" spans="1:53" ht="40.5" customHeight="1">
      <c r="A17" s="1041" t="s">
        <v>242</v>
      </c>
      <c r="B17" s="1031" t="s">
        <v>214</v>
      </c>
      <c r="C17" s="1014" t="s">
        <v>56</v>
      </c>
      <c r="D17" s="1035" t="s">
        <v>4</v>
      </c>
      <c r="E17" s="2184" t="s">
        <v>1340</v>
      </c>
      <c r="F17" s="1887" t="s">
        <v>1508</v>
      </c>
      <c r="G17" s="2590">
        <v>10</v>
      </c>
      <c r="H17" s="2514">
        <f>XM.HN!B14</f>
        <v>0</v>
      </c>
      <c r="I17" s="1761">
        <f>H17*1.3</f>
        <v>0</v>
      </c>
      <c r="J17" s="2625">
        <f>($G$17-I17)*19951/1000</f>
        <v>199.51</v>
      </c>
      <c r="K17" s="1756" t="s">
        <v>8</v>
      </c>
      <c r="L17" s="1757">
        <f t="shared" si="0"/>
        <v>0</v>
      </c>
      <c r="M17" s="2037" t="str">
        <f>IF('1. XL-1E TT'!AB17="","",'1. XL-1E TT'!AB17)</f>
        <v/>
      </c>
      <c r="N17" s="1760" t="s">
        <v>9</v>
      </c>
      <c r="O17" s="2632">
        <f>XM.HN!C14</f>
        <v>9.8000000000000007</v>
      </c>
      <c r="P17" s="1731">
        <f>O17*1.3</f>
        <v>12.740000000000002</v>
      </c>
      <c r="Q17" s="2625">
        <f>($G$17-P17)*19951/1000</f>
        <v>-54.665740000000042</v>
      </c>
      <c r="R17" s="1756" t="s">
        <v>8</v>
      </c>
      <c r="S17" s="1757">
        <f t="shared" si="1"/>
        <v>0</v>
      </c>
      <c r="T17" s="2037" t="str">
        <f>IF('1. XL-1E TT'!AF17="","",'1. XL-1E TT'!AF17)</f>
        <v/>
      </c>
      <c r="U17" s="1760" t="s">
        <v>9</v>
      </c>
      <c r="V17" s="2632">
        <f>XM.HN!D14</f>
        <v>9.6</v>
      </c>
      <c r="W17" s="1761">
        <f>V17*1.3</f>
        <v>12.48</v>
      </c>
      <c r="X17" s="2625">
        <f>($G$17-W17)*19951/1000</f>
        <v>-49.478480000000012</v>
      </c>
      <c r="Y17" s="1756" t="s">
        <v>8</v>
      </c>
      <c r="Z17" s="1757">
        <f t="shared" si="2"/>
        <v>0</v>
      </c>
      <c r="AA17" s="2037" t="str">
        <f>IF('1. XL-1E TT'!AJ17="","",'1. XL-1E TT'!AJ17)</f>
        <v/>
      </c>
      <c r="AB17" s="1760" t="s">
        <v>9</v>
      </c>
      <c r="AC17" s="2632">
        <f>XM.HN!E14</f>
        <v>8.8000000000000007</v>
      </c>
      <c r="AD17" s="1761">
        <f>AC17*1.3</f>
        <v>11.440000000000001</v>
      </c>
      <c r="AE17" s="2625">
        <f>($G$17-AD17)*19951/1000</f>
        <v>-28.729440000000025</v>
      </c>
      <c r="AF17" s="1756" t="s">
        <v>8</v>
      </c>
      <c r="AG17" s="1757">
        <f t="shared" si="3"/>
        <v>0</v>
      </c>
      <c r="AH17" s="2037" t="str">
        <f>IF('1. XL-1E TT(CA2)'!AB17="","",'1. XL-1E TT(CA2)'!AB17)</f>
        <v/>
      </c>
      <c r="AI17" s="1760" t="s">
        <v>9</v>
      </c>
      <c r="AJ17" s="2632">
        <f>XM.HN!F14</f>
        <v>8.3000000000000007</v>
      </c>
      <c r="AK17" s="1761">
        <f>AJ17*1.3</f>
        <v>10.790000000000001</v>
      </c>
      <c r="AL17" s="2625">
        <f>($G$17-AK17)*19951/1000</f>
        <v>-15.761290000000018</v>
      </c>
      <c r="AM17" s="1756" t="s">
        <v>8</v>
      </c>
      <c r="AN17" s="1757">
        <f t="shared" si="4"/>
        <v>0</v>
      </c>
      <c r="AO17" s="2037" t="str">
        <f>IF('1. XL-1E TT(CA2)'!AF17="","",'1. XL-1E TT(CA2)'!AF17)</f>
        <v/>
      </c>
      <c r="AP17" s="1760" t="s">
        <v>9</v>
      </c>
      <c r="AQ17" s="2632">
        <f>XM.HN!G14</f>
        <v>8.15</v>
      </c>
      <c r="AR17" s="1761">
        <f>AQ17*1.3</f>
        <v>10.595000000000001</v>
      </c>
      <c r="AS17" s="2625">
        <f>($G$17-AR17)*19951/1000</f>
        <v>-11.870845000000012</v>
      </c>
      <c r="AT17" s="1756" t="s">
        <v>8</v>
      </c>
      <c r="AU17" s="1757">
        <f t="shared" si="5"/>
        <v>0</v>
      </c>
      <c r="AV17" s="2037" t="str">
        <f>IF('1. XL-1E TT(CA2)'!AJ17="","",'1. XL-1E TT(CA2)'!AJ17)</f>
        <v/>
      </c>
      <c r="AW17" s="1760" t="s">
        <v>9</v>
      </c>
      <c r="AY17" s="2158"/>
    </row>
    <row r="18" spans="1:53" ht="40.5" customHeight="1">
      <c r="A18" s="1712" t="s">
        <v>248</v>
      </c>
      <c r="B18" s="1031" t="s">
        <v>214</v>
      </c>
      <c r="C18" s="1033" t="s">
        <v>968</v>
      </c>
      <c r="D18" s="1035" t="s">
        <v>3</v>
      </c>
      <c r="E18" s="13" t="s">
        <v>1324</v>
      </c>
      <c r="F18" s="1887" t="s">
        <v>1319</v>
      </c>
      <c r="G18" s="2590">
        <v>14</v>
      </c>
      <c r="H18" s="2514">
        <f>XM.HN!B15</f>
        <v>0</v>
      </c>
      <c r="I18" s="1731">
        <f>H18*100/6.95/10</f>
        <v>0</v>
      </c>
      <c r="J18" s="2625">
        <f>($G$18-I18)*575/100</f>
        <v>80.5</v>
      </c>
      <c r="K18" s="1756" t="s">
        <v>8</v>
      </c>
      <c r="L18" s="1757">
        <f t="shared" si="0"/>
        <v>0</v>
      </c>
      <c r="M18" s="2037" t="str">
        <f>IF('1. XL-1E TT'!AB18="","",'1. XL-1E TT'!AB18)</f>
        <v/>
      </c>
      <c r="N18" s="1759" t="s">
        <v>10</v>
      </c>
      <c r="O18" s="2633">
        <f>XM.HN!C15</f>
        <v>11</v>
      </c>
      <c r="P18" s="1731">
        <f>O18*100/6.95/10</f>
        <v>15.827338129496402</v>
      </c>
      <c r="Q18" s="2625">
        <f>($G$18-P18)*575/100</f>
        <v>-10.507194244604314</v>
      </c>
      <c r="R18" s="1756" t="s">
        <v>8</v>
      </c>
      <c r="S18" s="1757">
        <f t="shared" si="1"/>
        <v>0</v>
      </c>
      <c r="T18" s="2037" t="str">
        <f>IF('1. XL-1E TT'!AF18="","",'1. XL-1E TT'!AF18)</f>
        <v/>
      </c>
      <c r="U18" s="1759" t="s">
        <v>10</v>
      </c>
      <c r="V18" s="2642">
        <f>XM.HN!D15</f>
        <v>11</v>
      </c>
      <c r="W18" s="1731">
        <f>V18*100/6.95/10</f>
        <v>15.827338129496402</v>
      </c>
      <c r="X18" s="2625">
        <f>($G$18-W18)*575/100</f>
        <v>-10.507194244604314</v>
      </c>
      <c r="Y18" s="1756" t="s">
        <v>8</v>
      </c>
      <c r="Z18" s="1757">
        <f t="shared" si="2"/>
        <v>0</v>
      </c>
      <c r="AA18" s="2037" t="str">
        <f>IF('1. XL-1E TT'!AJ18="","",'1. XL-1E TT'!AJ18)</f>
        <v/>
      </c>
      <c r="AB18" s="1759" t="s">
        <v>10</v>
      </c>
      <c r="AC18" s="2650">
        <f>XM.HN!E15</f>
        <v>12.6</v>
      </c>
      <c r="AD18" s="1731">
        <f>AC18*100/6.95/10</f>
        <v>18.129496402877699</v>
      </c>
      <c r="AE18" s="2625">
        <f>($G$18-AD18)*575/100</f>
        <v>-23.74460431654677</v>
      </c>
      <c r="AF18" s="1756" t="s">
        <v>8</v>
      </c>
      <c r="AG18" s="1757">
        <f t="shared" si="3"/>
        <v>0</v>
      </c>
      <c r="AH18" s="2037" t="str">
        <f>IF('1. XL-1E TT(CA2)'!AB18="","",'1. XL-1E TT(CA2)'!AB18)</f>
        <v xml:space="preserve">chỉnh màu </v>
      </c>
      <c r="AI18" s="1759" t="s">
        <v>10</v>
      </c>
      <c r="AJ18" s="2642">
        <f>XM.HN!F15</f>
        <v>10.6</v>
      </c>
      <c r="AK18" s="1731">
        <f>AJ18*100/6.95/10</f>
        <v>15.25179856115108</v>
      </c>
      <c r="AL18" s="2625">
        <f>($G$18-AK18)*575/100</f>
        <v>-7.1978417266187114</v>
      </c>
      <c r="AM18" s="1756" t="s">
        <v>8</v>
      </c>
      <c r="AN18" s="1757">
        <f t="shared" si="4"/>
        <v>0</v>
      </c>
      <c r="AO18" s="2037" t="str">
        <f>IF('1. XL-1E TT(CA2)'!AF18="","",'1. XL-1E TT(CA2)'!AF18)</f>
        <v/>
      </c>
      <c r="AP18" s="1759" t="s">
        <v>10</v>
      </c>
      <c r="AQ18" s="2642">
        <f>XM.HN!G15</f>
        <v>10.199999999999999</v>
      </c>
      <c r="AR18" s="1731">
        <f>AQ18*100/6.95/10</f>
        <v>14.676258992805753</v>
      </c>
      <c r="AS18" s="2625">
        <f>($G$18-AR18)*575/100</f>
        <v>-3.8884892086330796</v>
      </c>
      <c r="AT18" s="1756" t="s">
        <v>8</v>
      </c>
      <c r="AU18" s="1757">
        <f t="shared" si="5"/>
        <v>0</v>
      </c>
      <c r="AV18" s="2037" t="str">
        <f>IF('1. XL-1E TT(CA2)'!AJ18="","",'1. XL-1E TT(CA2)'!AJ18)</f>
        <v/>
      </c>
      <c r="AW18" s="1759" t="s">
        <v>10</v>
      </c>
      <c r="AY18" s="2158"/>
    </row>
    <row r="19" spans="1:53" ht="40.5" customHeight="1">
      <c r="A19" s="1712" t="s">
        <v>250</v>
      </c>
      <c r="B19" s="1031" t="s">
        <v>214</v>
      </c>
      <c r="C19" s="2269" t="str">
        <f>MENU!U44</f>
        <v>Pha mới: 2024/08/01</v>
      </c>
      <c r="D19" s="1035" t="s">
        <v>5</v>
      </c>
      <c r="E19" s="14" t="s">
        <v>1634</v>
      </c>
      <c r="F19" s="1886" t="s">
        <v>1635</v>
      </c>
      <c r="G19" s="2591"/>
      <c r="H19" s="2514"/>
      <c r="I19" s="2176">
        <f>XM.HN!B23</f>
        <v>0</v>
      </c>
      <c r="J19" s="2464"/>
      <c r="K19" s="1734"/>
      <c r="L19" s="1734"/>
      <c r="M19" s="1734" t="str">
        <f>IF('1. XL-1E TT'!AB19="","",'1. XL-1E TT'!AB19)</f>
        <v/>
      </c>
      <c r="N19" s="1735"/>
      <c r="O19" s="2516"/>
      <c r="P19" s="2176">
        <f>XM.HN!C23</f>
        <v>1.63</v>
      </c>
      <c r="Q19" s="2464"/>
      <c r="R19" s="1734"/>
      <c r="S19" s="1734"/>
      <c r="T19" s="1734" t="str">
        <f>IF('1. XL-1E TT'!AF19="","",'1. XL-1E TT'!AF19)</f>
        <v/>
      </c>
      <c r="U19" s="1735"/>
      <c r="V19" s="2543"/>
      <c r="W19" s="2176">
        <f>XM.HN!D23</f>
        <v>1.64</v>
      </c>
      <c r="X19" s="2464"/>
      <c r="Y19" s="1734"/>
      <c r="Z19" s="1734"/>
      <c r="AA19" s="1734" t="str">
        <f>IF('1. XL-1E TT'!AJ19="","",'1. XL-1E TT'!AJ19)</f>
        <v/>
      </c>
      <c r="AB19" s="1869"/>
      <c r="AC19" s="2543"/>
      <c r="AD19" s="2176">
        <f>XM.HN!E23</f>
        <v>1.8</v>
      </c>
      <c r="AE19" s="2464"/>
      <c r="AF19" s="1734"/>
      <c r="AG19" s="1734"/>
      <c r="AH19" s="1734" t="str">
        <f>IF('1. XL-1E TT(CA2)'!AB19="","",'1. XL-1E TT(CA2)'!AB19)</f>
        <v/>
      </c>
      <c r="AI19" s="1735"/>
      <c r="AJ19" s="2514"/>
      <c r="AK19" s="2176">
        <f>XM.HN!F23</f>
        <v>1.8</v>
      </c>
      <c r="AL19" s="2464"/>
      <c r="AM19" s="1734"/>
      <c r="AN19" s="1734"/>
      <c r="AO19" s="1734" t="str">
        <f>IF('1. XL-1E TT(CA2)'!AF19="","",'1. XL-1E TT(CA2)'!AF19)</f>
        <v/>
      </c>
      <c r="AP19" s="1735"/>
      <c r="AQ19" s="2514"/>
      <c r="AR19" s="2176">
        <f>XM.HN!G23</f>
        <v>1.76</v>
      </c>
      <c r="AS19" s="2626"/>
      <c r="AT19" s="1763"/>
      <c r="AU19" s="1757"/>
      <c r="AV19" s="2037" t="str">
        <f>IF('1. XL-1E TT(CA2)'!AJ19="","",'1. XL-1E TT(CA2)'!AJ19)</f>
        <v/>
      </c>
      <c r="AW19" s="1764"/>
      <c r="AY19" s="2158"/>
    </row>
    <row r="20" spans="1:53" ht="40.5" customHeight="1">
      <c r="A20" s="1713" t="s">
        <v>243</v>
      </c>
      <c r="B20" s="1031" t="s">
        <v>214</v>
      </c>
      <c r="C20" s="1518" t="s">
        <v>57</v>
      </c>
      <c r="D20" s="1035" t="s">
        <v>6</v>
      </c>
      <c r="E20" s="13" t="s">
        <v>1523</v>
      </c>
      <c r="F20" s="45" t="s">
        <v>1312</v>
      </c>
      <c r="G20" s="2592">
        <v>0.45</v>
      </c>
      <c r="H20" s="2514">
        <f>XM.HN!B17</f>
        <v>0</v>
      </c>
      <c r="I20" s="1747">
        <f>(1*H20*36.5)/(1*10)/32%/100</f>
        <v>0</v>
      </c>
      <c r="J20" s="2627">
        <f>($G$20-I20)*2122</f>
        <v>954.9</v>
      </c>
      <c r="K20" s="1766" t="s">
        <v>8</v>
      </c>
      <c r="L20" s="1757">
        <f t="shared" si="0"/>
        <v>0</v>
      </c>
      <c r="M20" s="2037" t="str">
        <f>IF('1. XL-1E TT'!AB20="","",'1. XL-1E TT'!AB20)</f>
        <v/>
      </c>
      <c r="N20" s="1758" t="s">
        <v>10</v>
      </c>
      <c r="O20" s="2634">
        <f>XM.HN!C17</f>
        <v>3.8</v>
      </c>
      <c r="P20" s="1747">
        <f>(1*O20*36.5)/(1*10)/32%/100</f>
        <v>0.43343749999999998</v>
      </c>
      <c r="Q20" s="2627">
        <f>($G$20-P20)*2122</f>
        <v>35.145625000000074</v>
      </c>
      <c r="R20" s="1766" t="s">
        <v>8</v>
      </c>
      <c r="S20" s="1757">
        <f t="shared" si="1"/>
        <v>35.145625000000074</v>
      </c>
      <c r="T20" s="2037" t="str">
        <f>IF('1. XL-1E TT'!AF20="","",'1. XL-1E TT'!AF20)</f>
        <v/>
      </c>
      <c r="U20" s="1758" t="s">
        <v>10</v>
      </c>
      <c r="V20" s="2634">
        <f>XM.HN!D17</f>
        <v>4.2</v>
      </c>
      <c r="W20" s="1747">
        <f>(1*V20*36.5)/(1*10)/32%/100</f>
        <v>0.47906250000000006</v>
      </c>
      <c r="X20" s="2627">
        <f>($G$20-W20)*2122</f>
        <v>-61.670625000000101</v>
      </c>
      <c r="Y20" s="1766" t="s">
        <v>8</v>
      </c>
      <c r="Z20" s="1757">
        <f t="shared" si="2"/>
        <v>0</v>
      </c>
      <c r="AA20" s="2037" t="str">
        <f>IF('1. XL-1E TT'!AJ20="","",'1. XL-1E TT'!AJ20)</f>
        <v/>
      </c>
      <c r="AB20" s="1758" t="s">
        <v>10</v>
      </c>
      <c r="AC20" s="2634">
        <f>XM.HN!E17</f>
        <v>4.3</v>
      </c>
      <c r="AD20" s="1747">
        <f>(1*AC20*36.5)/(1*10)/32%/100</f>
        <v>0.49046874999999995</v>
      </c>
      <c r="AE20" s="2627">
        <f>($G$20-AD20)*2122</f>
        <v>-85.874687499999879</v>
      </c>
      <c r="AF20" s="1766" t="s">
        <v>8</v>
      </c>
      <c r="AG20" s="1757">
        <f t="shared" si="3"/>
        <v>0</v>
      </c>
      <c r="AH20" s="2037" t="str">
        <f>IF('1. XL-1E TT(CA2)'!AB20="","",'1. XL-1E TT(CA2)'!AB20)</f>
        <v/>
      </c>
      <c r="AI20" s="1758" t="s">
        <v>10</v>
      </c>
      <c r="AJ20" s="2632">
        <f>XM.HN!F17</f>
        <v>4.0999999999999996</v>
      </c>
      <c r="AK20" s="1747">
        <f>(1*AJ20*36.5)/(1*10)/32%/100</f>
        <v>0.46765624999999994</v>
      </c>
      <c r="AL20" s="2627">
        <f>($G$20-AK20)*2122</f>
        <v>-37.466562499999853</v>
      </c>
      <c r="AM20" s="1766" t="s">
        <v>8</v>
      </c>
      <c r="AN20" s="1757">
        <f t="shared" si="4"/>
        <v>0</v>
      </c>
      <c r="AO20" s="2037" t="str">
        <f>IF('1. XL-1E TT(CA2)'!AF20="","",'1. XL-1E TT(CA2)'!AF20)</f>
        <v/>
      </c>
      <c r="AP20" s="1758" t="s">
        <v>10</v>
      </c>
      <c r="AQ20" s="2632">
        <f>XM.HN!G17</f>
        <v>4.05</v>
      </c>
      <c r="AR20" s="1747">
        <f>(1*AQ20*36.5)/(1*10)/32%/100</f>
        <v>0.46195312499999991</v>
      </c>
      <c r="AS20" s="2627">
        <f>($G$20-AR20)*2122</f>
        <v>-25.364531249999782</v>
      </c>
      <c r="AT20" s="1766" t="s">
        <v>8</v>
      </c>
      <c r="AU20" s="1757">
        <f t="shared" si="5"/>
        <v>0</v>
      </c>
      <c r="AV20" s="2037" t="str">
        <f>IF('1. XL-1E TT(CA2)'!AJ20="","",'1. XL-1E TT(CA2)'!AJ20)</f>
        <v/>
      </c>
      <c r="AW20" s="1758" t="s">
        <v>10</v>
      </c>
      <c r="AY20" s="2158"/>
    </row>
    <row r="21" spans="1:53" ht="40.5" hidden="1" customHeight="1">
      <c r="A21" s="1713" t="s">
        <v>244</v>
      </c>
      <c r="B21" s="1031" t="s">
        <v>214</v>
      </c>
      <c r="C21" s="1029" t="s">
        <v>58</v>
      </c>
      <c r="D21" s="1035" t="s">
        <v>6</v>
      </c>
      <c r="E21" s="2185" t="s">
        <v>1524</v>
      </c>
      <c r="F21" s="2139" t="s">
        <v>1320</v>
      </c>
      <c r="G21" s="2592">
        <v>0.22</v>
      </c>
      <c r="H21" s="2514">
        <f>XM.HN!B18</f>
        <v>0</v>
      </c>
      <c r="I21" s="1765">
        <f>(1*H21*36.5)/(1*10)/32%/100</f>
        <v>0</v>
      </c>
      <c r="J21" s="2627">
        <f>($G$21-I21)*612</f>
        <v>134.64000000000001</v>
      </c>
      <c r="K21" s="1766" t="s">
        <v>8</v>
      </c>
      <c r="L21" s="1757">
        <f t="shared" si="0"/>
        <v>0</v>
      </c>
      <c r="M21" s="2037" t="str">
        <f>IF('1. XL-1E TT'!AB21="","",'1. XL-1E TT'!AB21)</f>
        <v/>
      </c>
      <c r="N21" s="1759" t="s">
        <v>10</v>
      </c>
      <c r="O21" s="2635">
        <f>XM.HN!C18</f>
        <v>0</v>
      </c>
      <c r="P21" s="1736">
        <f>(1*O21*36.5)/(1*10)/32%/100</f>
        <v>0</v>
      </c>
      <c r="Q21" s="2627">
        <f>($G$21-P21)*612</f>
        <v>134.64000000000001</v>
      </c>
      <c r="R21" s="1766" t="s">
        <v>8</v>
      </c>
      <c r="S21" s="1757">
        <f t="shared" si="1"/>
        <v>0</v>
      </c>
      <c r="T21" s="2037" t="str">
        <f>IF('1. XL-1E TT'!AF21="","",'1. XL-1E TT'!AF21)</f>
        <v/>
      </c>
      <c r="U21" s="1759" t="s">
        <v>10</v>
      </c>
      <c r="V21" s="2634">
        <f>XM.HN!D18</f>
        <v>0</v>
      </c>
      <c r="W21" s="1765">
        <f>(1*V21*36.5)/(1*10)/32%/100</f>
        <v>0</v>
      </c>
      <c r="X21" s="2627">
        <f>($G$21-W21)*612</f>
        <v>134.64000000000001</v>
      </c>
      <c r="Y21" s="1766" t="s">
        <v>8</v>
      </c>
      <c r="Z21" s="1757">
        <f t="shared" si="2"/>
        <v>0</v>
      </c>
      <c r="AA21" s="2037" t="str">
        <f>IF('1. XL-1E TT'!AJ21="","",'1. XL-1E TT'!AJ21)</f>
        <v/>
      </c>
      <c r="AB21" s="1759" t="s">
        <v>10</v>
      </c>
      <c r="AC21" s="2634">
        <f>XM.HN!E18</f>
        <v>0</v>
      </c>
      <c r="AD21" s="1765">
        <f>(1*AC21*36.5)/(1*10)/32%/100</f>
        <v>0</v>
      </c>
      <c r="AE21" s="2627">
        <f>($G$21-AD21)*612</f>
        <v>134.64000000000001</v>
      </c>
      <c r="AF21" s="1766" t="s">
        <v>8</v>
      </c>
      <c r="AG21" s="1757">
        <f t="shared" si="3"/>
        <v>0</v>
      </c>
      <c r="AH21" s="2037" t="str">
        <f>IF('1. XL-1E TT(CA2)'!AB21="","",'1. XL-1E TT(CA2)'!AB21)</f>
        <v/>
      </c>
      <c r="AI21" s="1759" t="s">
        <v>10</v>
      </c>
      <c r="AJ21" s="2634">
        <f>XM.HN!F18</f>
        <v>0</v>
      </c>
      <c r="AK21" s="1765">
        <f>(1*AJ21*36.5)/(1*10)/32%/100</f>
        <v>0</v>
      </c>
      <c r="AL21" s="2627">
        <f>($G$21-AK21)*612</f>
        <v>134.64000000000001</v>
      </c>
      <c r="AM21" s="1766" t="s">
        <v>8</v>
      </c>
      <c r="AN21" s="1757">
        <f t="shared" si="4"/>
        <v>0</v>
      </c>
      <c r="AO21" s="2037" t="str">
        <f>IF('1. XL-1E TT(CA2)'!AF21="","",'1. XL-1E TT(CA2)'!AF21)</f>
        <v/>
      </c>
      <c r="AP21" s="1759" t="s">
        <v>10</v>
      </c>
      <c r="AQ21" s="2634">
        <f>XM.HN!G18</f>
        <v>0</v>
      </c>
      <c r="AR21" s="1765">
        <f>(1*AQ21*36.5)/(1*10)/32%/100</f>
        <v>0</v>
      </c>
      <c r="AS21" s="2627">
        <f>($G$21-AR21)*612</f>
        <v>134.64000000000001</v>
      </c>
      <c r="AT21" s="1766" t="s">
        <v>8</v>
      </c>
      <c r="AU21" s="1757">
        <f t="shared" si="5"/>
        <v>0</v>
      </c>
      <c r="AV21" s="2037" t="str">
        <f>IF('1. XL-1E TT(CA2)'!AJ21="","",'1. XL-1E TT(CA2)'!AJ21)</f>
        <v/>
      </c>
      <c r="AW21" s="1759" t="s">
        <v>10</v>
      </c>
      <c r="AY21" s="2158"/>
    </row>
    <row r="22" spans="1:53" ht="38.25" customHeight="1">
      <c r="A22" s="1713" t="s">
        <v>245</v>
      </c>
      <c r="B22" s="1031" t="s">
        <v>214</v>
      </c>
      <c r="C22" s="1029" t="s">
        <v>59</v>
      </c>
      <c r="D22" s="44" t="s">
        <v>6</v>
      </c>
      <c r="E22" s="1330" t="s">
        <v>1325</v>
      </c>
      <c r="F22" s="2139" t="s">
        <v>1317</v>
      </c>
      <c r="G22" s="2901">
        <v>0.1</v>
      </c>
      <c r="H22" s="2514">
        <f>XM.HN!B19</f>
        <v>0</v>
      </c>
      <c r="I22" s="1765">
        <f>(1*H22*36.5)/(5*10)/32%/100</f>
        <v>0</v>
      </c>
      <c r="J22" s="2628">
        <f>($G$22-I22)*575</f>
        <v>57.5</v>
      </c>
      <c r="K22" s="1766" t="s">
        <v>8</v>
      </c>
      <c r="L22" s="1757">
        <f t="shared" si="0"/>
        <v>0</v>
      </c>
      <c r="M22" s="2037" t="str">
        <f>IF('1. XL-1E TT'!AB22="","",'1. XL-1E TT'!AB22)</f>
        <v/>
      </c>
      <c r="N22" s="1758" t="s">
        <v>10</v>
      </c>
      <c r="O22" s="2636">
        <f>XM.HN!C19</f>
        <v>5.9</v>
      </c>
      <c r="P22" s="1736">
        <f>(1*O22*36.5)/(5*10)/32%/100</f>
        <v>0.13459375000000001</v>
      </c>
      <c r="Q22" s="2628">
        <f>($G$22-P22)*575</f>
        <v>-19.891406250000003</v>
      </c>
      <c r="R22" s="1766" t="s">
        <v>8</v>
      </c>
      <c r="S22" s="1757">
        <f t="shared" si="1"/>
        <v>0</v>
      </c>
      <c r="T22" s="2037" t="str">
        <f>IF('1. XL-1E TT'!AF22="","",'1. XL-1E TT'!AF22)</f>
        <v/>
      </c>
      <c r="U22" s="1758" t="s">
        <v>10</v>
      </c>
      <c r="V22" s="2636">
        <f>XM.HN!D19</f>
        <v>8.1</v>
      </c>
      <c r="W22" s="1765">
        <f>(1*V22*36.5)/(5*10)/32%/100</f>
        <v>0.18478124999999998</v>
      </c>
      <c r="X22" s="2628">
        <f>($G$22-W22)*575</f>
        <v>-48.749218749999983</v>
      </c>
      <c r="Y22" s="1766" t="s">
        <v>8</v>
      </c>
      <c r="Z22" s="1757">
        <f t="shared" si="2"/>
        <v>0</v>
      </c>
      <c r="AA22" s="2037" t="str">
        <f>IF('1. XL-1E TT'!AJ22="","",'1. XL-1E TT'!AJ22)</f>
        <v>thêm nước</v>
      </c>
      <c r="AB22" s="1758" t="s">
        <v>10</v>
      </c>
      <c r="AC22" s="2636">
        <f>XM.HN!E19</f>
        <v>7.5</v>
      </c>
      <c r="AD22" s="1765">
        <f>(1*AC22*36.5)/(5*10)/32%/100</f>
        <v>0.17109374999999999</v>
      </c>
      <c r="AE22" s="2628">
        <f>($G$22-AD22)*575</f>
        <v>-40.878906249999993</v>
      </c>
      <c r="AF22" s="1766" t="s">
        <v>8</v>
      </c>
      <c r="AG22" s="1757">
        <f t="shared" si="3"/>
        <v>0</v>
      </c>
      <c r="AH22" s="2037" t="str">
        <f>IF('1. XL-1E TT(CA2)'!AB22="","",'1. XL-1E TT(CA2)'!AB22)</f>
        <v/>
      </c>
      <c r="AI22" s="1758" t="s">
        <v>10</v>
      </c>
      <c r="AJ22" s="2636">
        <f>XM.HN!F19</f>
        <v>6.7</v>
      </c>
      <c r="AK22" s="1765">
        <f>(1*AJ22*36.5)/(5*10)/32%/100</f>
        <v>0.15284375</v>
      </c>
      <c r="AL22" s="2628">
        <f>($G$22-AK22)*575</f>
        <v>-30.385156249999998</v>
      </c>
      <c r="AM22" s="1766" t="s">
        <v>8</v>
      </c>
      <c r="AN22" s="1757">
        <f t="shared" si="4"/>
        <v>0</v>
      </c>
      <c r="AO22" s="2037" t="str">
        <f>IF('1. XL-1E TT(CA2)'!AF22="","",'1. XL-1E TT(CA2)'!AF22)</f>
        <v/>
      </c>
      <c r="AP22" s="1758" t="s">
        <v>10</v>
      </c>
      <c r="AQ22" s="2636">
        <f>XM.HN!G19</f>
        <v>5</v>
      </c>
      <c r="AR22" s="1765">
        <f>(1*AQ22*36.5)/(5*10)/32%/100</f>
        <v>0.1140625</v>
      </c>
      <c r="AS22" s="2628">
        <f>($G$22-AR22)*575</f>
        <v>-8.0859374999999947</v>
      </c>
      <c r="AT22" s="1766" t="s">
        <v>8</v>
      </c>
      <c r="AU22" s="1757">
        <f t="shared" si="5"/>
        <v>0</v>
      </c>
      <c r="AV22" s="2037" t="str">
        <f>IF('1. XL-1E TT(CA2)'!AJ22="","",'1. XL-1E TT(CA2)'!AJ22)</f>
        <v/>
      </c>
      <c r="AW22" s="1758" t="s">
        <v>10</v>
      </c>
      <c r="AY22" s="2158"/>
    </row>
    <row r="23" spans="1:53" ht="40.5" customHeight="1">
      <c r="A23" s="1713" t="s">
        <v>246</v>
      </c>
      <c r="B23" s="1031" t="s">
        <v>214</v>
      </c>
      <c r="C23" s="1029" t="s">
        <v>145</v>
      </c>
      <c r="D23" s="1036" t="s">
        <v>982</v>
      </c>
      <c r="E23" s="2186" t="s">
        <v>1658</v>
      </c>
      <c r="F23" s="1896" t="s">
        <v>1659</v>
      </c>
      <c r="G23" s="2889">
        <v>7.0000000000000001E-3</v>
      </c>
      <c r="H23" s="2594">
        <f>XM.HN!B20</f>
        <v>0</v>
      </c>
      <c r="I23" s="1767">
        <f>(H23*0.126)/100</f>
        <v>0</v>
      </c>
      <c r="J23" s="2627">
        <f>($G$23-I23)*530/65%/1.51</f>
        <v>3.7799286805909325</v>
      </c>
      <c r="K23" s="1766" t="s">
        <v>8</v>
      </c>
      <c r="L23" s="1768">
        <f t="shared" si="0"/>
        <v>0</v>
      </c>
      <c r="M23" s="2038" t="str">
        <f>IF('1. XL-1E TT'!AB23="","",'1. XL-1E TT'!AB23)</f>
        <v/>
      </c>
      <c r="N23" s="1758" t="s">
        <v>10</v>
      </c>
      <c r="O23" s="2562">
        <f>XM.HN!C20</f>
        <v>0</v>
      </c>
      <c r="P23" s="1767">
        <f>(O23*0.126)/100</f>
        <v>0</v>
      </c>
      <c r="Q23" s="2627">
        <f>($G$23-P23)*530/65%/1.51</f>
        <v>3.7799286805909325</v>
      </c>
      <c r="R23" s="1766" t="s">
        <v>8</v>
      </c>
      <c r="S23" s="1768">
        <f t="shared" si="1"/>
        <v>0</v>
      </c>
      <c r="T23" s="2038" t="str">
        <f>IF('1. XL-1E TT'!AF23="","",'1. XL-1E TT'!AF23)</f>
        <v/>
      </c>
      <c r="U23" s="1758" t="s">
        <v>10</v>
      </c>
      <c r="V23" s="2634">
        <f>XM.HN!D20</f>
        <v>0</v>
      </c>
      <c r="W23" s="1767">
        <f>(V23*0.126)/100</f>
        <v>0</v>
      </c>
      <c r="X23" s="2627">
        <f>($G$23-W23)*530/65%/1.51</f>
        <v>3.7799286805909325</v>
      </c>
      <c r="Y23" s="1766" t="s">
        <v>8</v>
      </c>
      <c r="Z23" s="1768">
        <f t="shared" si="2"/>
        <v>0</v>
      </c>
      <c r="AA23" s="2038" t="str">
        <f>IF('1. XL-1E TT'!AJ23="","",'1. XL-1E TT'!AJ23)</f>
        <v/>
      </c>
      <c r="AB23" s="1758" t="s">
        <v>10</v>
      </c>
      <c r="AC23" s="2634">
        <f>XM.HN!E20</f>
        <v>6.5</v>
      </c>
      <c r="AD23" s="1767">
        <f>(AC23*0.126)/100</f>
        <v>8.1899999999999994E-3</v>
      </c>
      <c r="AE23" s="2627">
        <f>($G$23-AD23)*530/65%/1.51</f>
        <v>-0.64258787570045806</v>
      </c>
      <c r="AF23" s="1766" t="s">
        <v>8</v>
      </c>
      <c r="AG23" s="1768">
        <f t="shared" si="3"/>
        <v>0</v>
      </c>
      <c r="AH23" s="2038" t="str">
        <f>IF('1. XL-1E TT(CA2)'!AB23="","",'1. XL-1E TT(CA2)'!AB23)</f>
        <v/>
      </c>
      <c r="AI23" s="1758" t="s">
        <v>10</v>
      </c>
      <c r="AJ23" s="2632">
        <f>XM.HN!F20</f>
        <v>7.1</v>
      </c>
      <c r="AK23" s="1767">
        <f>(AJ23*0.126)/100</f>
        <v>8.9459999999999991E-3</v>
      </c>
      <c r="AL23" s="2627">
        <f>($G$23-AK23)*530/65%/1.51</f>
        <v>-1.0508201732042786</v>
      </c>
      <c r="AM23" s="1766" t="s">
        <v>8</v>
      </c>
      <c r="AN23" s="1768">
        <f t="shared" si="4"/>
        <v>0</v>
      </c>
      <c r="AO23" s="2038" t="str">
        <f>IF('1. XL-1E TT(CA2)'!AF23="","",'1. XL-1E TT(CA2)'!AF23)</f>
        <v/>
      </c>
      <c r="AP23" s="1758" t="s">
        <v>10</v>
      </c>
      <c r="AQ23" s="2632">
        <f>XM.HN!G20</f>
        <v>6</v>
      </c>
      <c r="AR23" s="1767">
        <f>(AQ23*0.126)/100</f>
        <v>7.5599999999999999E-3</v>
      </c>
      <c r="AS23" s="2627">
        <f>($G$23-AR23)*530/65%/1.51</f>
        <v>-0.30239429444727439</v>
      </c>
      <c r="AT23" s="1766" t="s">
        <v>8</v>
      </c>
      <c r="AU23" s="1768">
        <f t="shared" si="5"/>
        <v>0</v>
      </c>
      <c r="AV23" s="2038" t="str">
        <f>IF('1. XL-1E TT(CA2)'!AJ23="","",'1. XL-1E TT(CA2)'!AJ23)</f>
        <v/>
      </c>
      <c r="AW23" s="1758" t="s">
        <v>10</v>
      </c>
      <c r="AY23" s="2232" t="s">
        <v>1519</v>
      </c>
    </row>
    <row r="24" spans="1:53" ht="40.5" customHeight="1">
      <c r="A24" s="1712" t="s">
        <v>247</v>
      </c>
      <c r="B24" s="1031" t="s">
        <v>214</v>
      </c>
      <c r="C24" s="2229" t="s">
        <v>1527</v>
      </c>
      <c r="D24" s="44" t="s">
        <v>3</v>
      </c>
      <c r="E24" s="1880" t="s">
        <v>1339</v>
      </c>
      <c r="F24" s="1886" t="s">
        <v>1321</v>
      </c>
      <c r="G24" s="2595">
        <v>7.5</v>
      </c>
      <c r="H24" s="2514">
        <f>XM.HN!B21</f>
        <v>0</v>
      </c>
      <c r="I24" s="1833" t="str">
        <f>IF(XM.HN!B21="","",(H24*(0.1*100)/(5*3.12)))</f>
        <v/>
      </c>
      <c r="J24" s="2467" t="e">
        <f>($G$24-I24)*575/95</f>
        <v>#VALUE!</v>
      </c>
      <c r="K24" s="1738" t="s">
        <v>8</v>
      </c>
      <c r="L24" s="1866" t="str">
        <f>IF(I24="","",(IF(J24&lt;0,0,J24)))</f>
        <v/>
      </c>
      <c r="M24" s="2175" t="str">
        <f>IF('1. XL-1E TT'!AB24="","",'1. XL-1E TT'!AB24)</f>
        <v/>
      </c>
      <c r="N24" s="1759" t="s">
        <v>10</v>
      </c>
      <c r="O24" s="2517">
        <f>XM.HN!C21</f>
        <v>12</v>
      </c>
      <c r="P24" s="1833">
        <f>IF(XM.HN!C21="","",(O24*(0.1*100)/(5*3.12)))</f>
        <v>7.6923076923076916</v>
      </c>
      <c r="Q24" s="2467">
        <f>($G$24-P24)*575/95</f>
        <v>-1.1639676113360282</v>
      </c>
      <c r="R24" s="1738" t="s">
        <v>8</v>
      </c>
      <c r="S24" s="1866">
        <f>IF(P24="","",(IF(Q24&lt;0,0,Q24)))</f>
        <v>0</v>
      </c>
      <c r="T24" s="2175" t="str">
        <f>IF('1. XL-1E TT'!AF24="","",'1. XL-1E TT'!AF24)</f>
        <v/>
      </c>
      <c r="U24" s="1759" t="s">
        <v>10</v>
      </c>
      <c r="V24" s="2517">
        <f>XM.HN!D21</f>
        <v>12</v>
      </c>
      <c r="W24" s="1833">
        <f>IF(XM.HN!D21="","",(V24*(0.1*100)/(5*3.12)))</f>
        <v>7.6923076923076916</v>
      </c>
      <c r="X24" s="2467">
        <f>($G$24-W24)*575/95</f>
        <v>-1.1639676113360282</v>
      </c>
      <c r="Y24" s="1738" t="s">
        <v>8</v>
      </c>
      <c r="Z24" s="1866">
        <f>IF(W24="","",(IF(X24&lt;0,0,X24)))</f>
        <v>0</v>
      </c>
      <c r="AA24" s="2175" t="str">
        <f>IF('1. XL-1E TT'!AJ24="","",'1. XL-1E TT'!AJ24)</f>
        <v/>
      </c>
      <c r="AB24" s="1759" t="s">
        <v>10</v>
      </c>
      <c r="AC24" s="2517">
        <f>XM.HN!E21</f>
        <v>12.3</v>
      </c>
      <c r="AD24" s="1833">
        <f>IF(XM.HN!E21="","",(AC24*(0.1*100)/(5*3.12)))</f>
        <v>7.8846153846153841</v>
      </c>
      <c r="AE24" s="2467">
        <f>($G$24-AD24)*575/95</f>
        <v>-2.3279352226720618</v>
      </c>
      <c r="AF24" s="1738" t="s">
        <v>8</v>
      </c>
      <c r="AG24" s="1866">
        <f>IF(AD24="","",(IF(AE24&lt;0,0,AE24)))</f>
        <v>0</v>
      </c>
      <c r="AH24" s="2175" t="str">
        <f>IF('1. XL-1E TT(CA2)'!AB24="","",'1. XL-1E TT(CA2)'!AB24)</f>
        <v/>
      </c>
      <c r="AI24" s="1759" t="s">
        <v>10</v>
      </c>
      <c r="AJ24" s="2517">
        <f>XM.HN!F21</f>
        <v>0</v>
      </c>
      <c r="AK24" s="1833" t="s">
        <v>1692</v>
      </c>
      <c r="AL24" s="2467" t="e">
        <f>($G$24-AK24)*575/95</f>
        <v>#VALUE!</v>
      </c>
      <c r="AM24" s="1738" t="s">
        <v>8</v>
      </c>
      <c r="AN24" s="1866"/>
      <c r="AO24" s="2175" t="str">
        <f>IF('1. XL-1E TT(CA2)'!AF24="","",'1. XL-1E TT(CA2)'!AF24)</f>
        <v/>
      </c>
      <c r="AP24" s="1759" t="s">
        <v>10</v>
      </c>
      <c r="AQ24" s="2517">
        <f>XM.HN!G21</f>
        <v>0</v>
      </c>
      <c r="AR24" s="1833" t="s">
        <v>1692</v>
      </c>
      <c r="AS24" s="2467" t="e">
        <f>($G$24-AR24)*575/95</f>
        <v>#VALUE!</v>
      </c>
      <c r="AT24" s="1738" t="s">
        <v>8</v>
      </c>
      <c r="AU24" s="1866"/>
      <c r="AV24" s="2175" t="str">
        <f>IF('1. XL-1E TT(CA2)'!AJ24="","",'1. XL-1E TT(CA2)'!AJ24)</f>
        <v/>
      </c>
      <c r="AW24" s="1759" t="s">
        <v>10</v>
      </c>
      <c r="AY24" s="2162"/>
    </row>
    <row r="25" spans="1:53" ht="40.5" customHeight="1">
      <c r="A25" s="1041" t="s">
        <v>249</v>
      </c>
      <c r="B25" s="1031" t="s">
        <v>214</v>
      </c>
      <c r="C25" s="2269" t="str">
        <f>MENU!U45</f>
        <v>Pha mới: 2024/06/27</v>
      </c>
      <c r="D25" s="44" t="s">
        <v>5</v>
      </c>
      <c r="E25" s="14" t="s">
        <v>1301</v>
      </c>
      <c r="F25" s="1886" t="s">
        <v>1526</v>
      </c>
      <c r="G25" s="2591"/>
      <c r="H25" s="2514"/>
      <c r="I25" s="2176">
        <f>XM.HN!B22</f>
        <v>0</v>
      </c>
      <c r="J25" s="2467"/>
      <c r="K25" s="1738"/>
      <c r="L25" s="1739"/>
      <c r="M25" s="2039" t="str">
        <f>IF('1. XL-1E TT'!AB25="","",'1. XL-1E TT'!AB25)</f>
        <v/>
      </c>
      <c r="N25" s="1740"/>
      <c r="O25" s="2517"/>
      <c r="P25" s="2176">
        <f>XM.HN!C22</f>
        <v>2.2799999999999998</v>
      </c>
      <c r="Q25" s="2467"/>
      <c r="R25" s="1738"/>
      <c r="S25" s="1739"/>
      <c r="T25" s="2039" t="str">
        <f>IF('1. XL-1E TT'!AF25="","",'1. XL-1E TT'!AF25)</f>
        <v/>
      </c>
      <c r="U25" s="1740"/>
      <c r="V25" s="2517"/>
      <c r="W25" s="2176">
        <f>XM.HN!D22</f>
        <v>2.2599999999999998</v>
      </c>
      <c r="X25" s="2467"/>
      <c r="Y25" s="1738"/>
      <c r="Z25" s="1739"/>
      <c r="AA25" s="2039"/>
      <c r="AB25" s="1740"/>
      <c r="AC25" s="2517"/>
      <c r="AD25" s="2176">
        <f>XM.HN!E22</f>
        <v>2.4</v>
      </c>
      <c r="AE25" s="2467"/>
      <c r="AF25" s="1738"/>
      <c r="AG25" s="1739"/>
      <c r="AH25" s="2039"/>
      <c r="AI25" s="1740"/>
      <c r="AJ25" s="2517"/>
      <c r="AK25" s="1833" t="s">
        <v>1692</v>
      </c>
      <c r="AL25" s="2467"/>
      <c r="AM25" s="1738"/>
      <c r="AN25" s="1739"/>
      <c r="AO25" s="2039"/>
      <c r="AP25" s="1740"/>
      <c r="AQ25" s="2517"/>
      <c r="AR25" s="1833" t="s">
        <v>1692</v>
      </c>
      <c r="AS25" s="2467"/>
      <c r="AT25" s="1738"/>
      <c r="AU25" s="1739"/>
      <c r="AV25" s="2039"/>
      <c r="AW25" s="1740"/>
      <c r="AY25" s="2162"/>
    </row>
    <row r="26" spans="1:53" s="205" customFormat="1" ht="54" customHeight="1">
      <c r="A26" s="284" t="s">
        <v>72</v>
      </c>
      <c r="B26" s="285"/>
      <c r="C26" s="285"/>
      <c r="D26" s="285"/>
      <c r="E26" s="282"/>
      <c r="F26" s="282"/>
      <c r="G26" s="2596"/>
      <c r="H26" s="2470"/>
      <c r="I26" s="285"/>
      <c r="J26" s="2470"/>
      <c r="K26" s="285"/>
      <c r="L26" s="285"/>
      <c r="M26" s="1617"/>
      <c r="N26" s="285"/>
      <c r="O26" s="2470"/>
      <c r="P26" s="286"/>
      <c r="Q26" s="2468"/>
      <c r="R26" s="1399"/>
      <c r="S26" s="1399"/>
      <c r="T26" s="1621"/>
      <c r="U26" s="286"/>
      <c r="V26" s="2468"/>
      <c r="W26" s="286"/>
      <c r="X26" s="2468"/>
      <c r="Y26" s="1399"/>
      <c r="Z26" s="1399"/>
      <c r="AA26" s="2187"/>
      <c r="AB26" s="1399"/>
      <c r="AC26" s="2468"/>
      <c r="AD26" s="1399"/>
      <c r="AE26" s="2468"/>
      <c r="AF26" s="1399"/>
      <c r="AG26" s="1399"/>
      <c r="AH26" s="2187"/>
      <c r="AI26" s="1399"/>
      <c r="AJ26" s="2569"/>
      <c r="AK26" s="286"/>
      <c r="AL26" s="2569"/>
      <c r="AM26" s="286"/>
      <c r="AN26" s="286"/>
      <c r="AO26" s="1625"/>
      <c r="AP26" s="286"/>
      <c r="AQ26" s="2569"/>
      <c r="AR26" s="286"/>
      <c r="AS26" s="2569"/>
      <c r="AT26" s="286"/>
      <c r="AU26" s="286"/>
      <c r="AV26" s="1625"/>
      <c r="AW26" s="1001"/>
      <c r="AZ26" s="3359"/>
      <c r="BA26" s="3359"/>
    </row>
    <row r="27" spans="1:53" s="88" customFormat="1" ht="54" customHeight="1">
      <c r="A27" s="1714" t="s">
        <v>236</v>
      </c>
      <c r="B27" s="1030" t="s">
        <v>315</v>
      </c>
      <c r="C27" s="1028" t="s">
        <v>60</v>
      </c>
      <c r="D27" s="277" t="s">
        <v>62</v>
      </c>
      <c r="E27" s="1382" t="s">
        <v>1290</v>
      </c>
      <c r="F27" s="1888" t="s">
        <v>1289</v>
      </c>
      <c r="G27" s="2597"/>
      <c r="H27" s="2598"/>
      <c r="I27" s="1720" t="s">
        <v>45</v>
      </c>
      <c r="J27" s="2469"/>
      <c r="K27" s="1721"/>
      <c r="L27" s="1721" t="s">
        <v>61</v>
      </c>
      <c r="M27" s="1770"/>
      <c r="N27" s="1722"/>
      <c r="O27" s="2520"/>
      <c r="P27" s="1720" t="s">
        <v>45</v>
      </c>
      <c r="Q27" s="2469"/>
      <c r="R27" s="1721"/>
      <c r="S27" s="1721" t="s">
        <v>61</v>
      </c>
      <c r="T27" s="1770"/>
      <c r="U27" s="1722"/>
      <c r="V27" s="2544"/>
      <c r="W27" s="1720" t="s">
        <v>45</v>
      </c>
      <c r="X27" s="2469"/>
      <c r="Y27" s="1721"/>
      <c r="Z27" s="1721" t="s">
        <v>61</v>
      </c>
      <c r="AA27" s="1770"/>
      <c r="AB27" s="1722"/>
      <c r="AC27" s="2556"/>
      <c r="AD27" s="1720" t="s">
        <v>45</v>
      </c>
      <c r="AE27" s="2469"/>
      <c r="AF27" s="1721"/>
      <c r="AG27" s="1721" t="s">
        <v>61</v>
      </c>
      <c r="AH27" s="1770"/>
      <c r="AI27" s="1722"/>
      <c r="AJ27" s="2556"/>
      <c r="AK27" s="1720" t="s">
        <v>45</v>
      </c>
      <c r="AL27" s="2469"/>
      <c r="AM27" s="1721"/>
      <c r="AN27" s="1721" t="s">
        <v>61</v>
      </c>
      <c r="AO27" s="1770"/>
      <c r="AP27" s="1722"/>
      <c r="AQ27" s="2556"/>
      <c r="AR27" s="1720" t="s">
        <v>45</v>
      </c>
      <c r="AS27" s="2469"/>
      <c r="AT27" s="1721"/>
      <c r="AU27" s="1721" t="s">
        <v>61</v>
      </c>
      <c r="AV27" s="1770"/>
      <c r="AW27" s="1722"/>
      <c r="AY27" s="2160" t="s">
        <v>1503</v>
      </c>
      <c r="AZ27" s="205"/>
      <c r="BA27" s="1415"/>
    </row>
    <row r="28" spans="1:53" s="88" customFormat="1" ht="37.5" customHeight="1">
      <c r="A28" s="1711" t="s">
        <v>251</v>
      </c>
      <c r="B28" s="1031" t="s">
        <v>214</v>
      </c>
      <c r="C28" s="1822" t="s">
        <v>64</v>
      </c>
      <c r="D28" s="21" t="s">
        <v>104</v>
      </c>
      <c r="E28" s="1610" t="s">
        <v>1328</v>
      </c>
      <c r="F28" s="1889" t="s">
        <v>1309</v>
      </c>
      <c r="G28" s="2599"/>
      <c r="H28" s="2600"/>
      <c r="I28" s="3095">
        <f>'XM.FILE GOC'!I28</f>
        <v>0</v>
      </c>
      <c r="J28" s="3086"/>
      <c r="K28" s="3086"/>
      <c r="L28" s="3086">
        <f>'XM.FILE GOC'!L28</f>
        <v>0</v>
      </c>
      <c r="M28" s="3086"/>
      <c r="N28" s="3097"/>
      <c r="O28" s="2521"/>
      <c r="P28" s="3095">
        <f>'XM.FILE GOC'!P28</f>
        <v>62</v>
      </c>
      <c r="Q28" s="3086"/>
      <c r="R28" s="3086"/>
      <c r="S28" s="3086">
        <f>'XM.FILE GOC'!S28</f>
        <v>63</v>
      </c>
      <c r="T28" s="3086"/>
      <c r="U28" s="3097"/>
      <c r="V28" s="2522"/>
      <c r="W28" s="3095">
        <f>'XM.FILE GOC'!W28</f>
        <v>62</v>
      </c>
      <c r="X28" s="3086"/>
      <c r="Y28" s="3086"/>
      <c r="Z28" s="3086">
        <f>'XM.FILE GOC'!Z28</f>
        <v>62</v>
      </c>
      <c r="AA28" s="3086"/>
      <c r="AB28" s="3097"/>
      <c r="AC28" s="2522"/>
      <c r="AD28" s="3095">
        <f>'XM.FILE GOC'!AD28</f>
        <v>63</v>
      </c>
      <c r="AE28" s="3086"/>
      <c r="AF28" s="3086"/>
      <c r="AG28" s="3086">
        <f>'XM.FILE GOC'!AG28</f>
        <v>62</v>
      </c>
      <c r="AH28" s="3086"/>
      <c r="AI28" s="3087"/>
      <c r="AJ28" s="2572"/>
      <c r="AK28" s="3095">
        <f>'XM.FILE GOC'!AK28</f>
        <v>62</v>
      </c>
      <c r="AL28" s="3086"/>
      <c r="AM28" s="3086"/>
      <c r="AN28" s="3086">
        <f>'XM.FILE GOC'!AN28</f>
        <v>61</v>
      </c>
      <c r="AO28" s="3086"/>
      <c r="AP28" s="3087"/>
      <c r="AQ28" s="2572"/>
      <c r="AR28" s="3095">
        <f>'XM.FILE GOC'!AR28</f>
        <v>63</v>
      </c>
      <c r="AS28" s="3086"/>
      <c r="AT28" s="3086"/>
      <c r="AU28" s="3086">
        <f>'XM.FILE GOC'!AU28</f>
        <v>62</v>
      </c>
      <c r="AV28" s="3086"/>
      <c r="AW28" s="3087"/>
      <c r="AY28" s="2156"/>
      <c r="AZ28" s="205"/>
      <c r="BA28" s="205"/>
    </row>
    <row r="29" spans="1:53" s="88" customFormat="1" ht="37.5" customHeight="1">
      <c r="A29" s="1711" t="s">
        <v>252</v>
      </c>
      <c r="B29" s="1031" t="s">
        <v>214</v>
      </c>
      <c r="C29" s="1015" t="s">
        <v>65</v>
      </c>
      <c r="D29" s="21" t="s">
        <v>104</v>
      </c>
      <c r="E29" s="1610" t="s">
        <v>1328</v>
      </c>
      <c r="F29" s="1889" t="s">
        <v>1309</v>
      </c>
      <c r="G29" s="2599"/>
      <c r="H29" s="2600"/>
      <c r="I29" s="3095">
        <f>'XM.FILE GOC'!I29</f>
        <v>0</v>
      </c>
      <c r="J29" s="3086"/>
      <c r="K29" s="3086"/>
      <c r="L29" s="3086">
        <f>'XM.FILE GOC'!L29</f>
        <v>0</v>
      </c>
      <c r="M29" s="3086"/>
      <c r="N29" s="3097"/>
      <c r="O29" s="2521"/>
      <c r="P29" s="3095">
        <f>'XM.FILE GOC'!P29</f>
        <v>60</v>
      </c>
      <c r="Q29" s="3086"/>
      <c r="R29" s="3086"/>
      <c r="S29" s="3086">
        <f>'XM.FILE GOC'!S29</f>
        <v>60</v>
      </c>
      <c r="T29" s="3086"/>
      <c r="U29" s="3097"/>
      <c r="V29" s="2522"/>
      <c r="W29" s="3095">
        <f>'XM.FILE GOC'!W29</f>
        <v>60</v>
      </c>
      <c r="X29" s="3086"/>
      <c r="Y29" s="3086"/>
      <c r="Z29" s="3086">
        <f>'XM.FILE GOC'!Z29</f>
        <v>60</v>
      </c>
      <c r="AA29" s="3086"/>
      <c r="AB29" s="3097"/>
      <c r="AC29" s="2522"/>
      <c r="AD29" s="3095">
        <f>'XM.FILE GOC'!AD29</f>
        <v>61</v>
      </c>
      <c r="AE29" s="3086"/>
      <c r="AF29" s="3086"/>
      <c r="AG29" s="3086">
        <f>'XM.FILE GOC'!AG29</f>
        <v>60</v>
      </c>
      <c r="AH29" s="3086"/>
      <c r="AI29" s="3087"/>
      <c r="AJ29" s="2572"/>
      <c r="AK29" s="3095">
        <f>'XM.FILE GOC'!AK29</f>
        <v>61</v>
      </c>
      <c r="AL29" s="3086"/>
      <c r="AM29" s="3086"/>
      <c r="AN29" s="3086">
        <f>'XM.FILE GOC'!AN29</f>
        <v>60</v>
      </c>
      <c r="AO29" s="3086"/>
      <c r="AP29" s="3087"/>
      <c r="AQ29" s="2572"/>
      <c r="AR29" s="3095">
        <f>'XM.FILE GOC'!AR29</f>
        <v>60</v>
      </c>
      <c r="AS29" s="3086"/>
      <c r="AT29" s="3086"/>
      <c r="AU29" s="3086">
        <f>'XM.FILE GOC'!AU29</f>
        <v>59</v>
      </c>
      <c r="AV29" s="3086"/>
      <c r="AW29" s="3087"/>
      <c r="AY29" s="2156"/>
    </row>
    <row r="30" spans="1:53" s="88" customFormat="1" ht="37.5" customHeight="1">
      <c r="A30" s="1711" t="s">
        <v>253</v>
      </c>
      <c r="B30" s="1031" t="s">
        <v>214</v>
      </c>
      <c r="C30" s="1015" t="s">
        <v>67</v>
      </c>
      <c r="D30" s="21" t="s">
        <v>104</v>
      </c>
      <c r="E30" s="1330" t="s">
        <v>1332</v>
      </c>
      <c r="F30" s="2139" t="s">
        <v>1315</v>
      </c>
      <c r="G30" s="2599"/>
      <c r="H30" s="2600"/>
      <c r="I30" s="3095">
        <f>'XM.FILE GOC'!I30</f>
        <v>0</v>
      </c>
      <c r="J30" s="3086"/>
      <c r="K30" s="3097"/>
      <c r="L30" s="3086">
        <f>'XM.FILE GOC'!L30</f>
        <v>0</v>
      </c>
      <c r="M30" s="3086"/>
      <c r="N30" s="3087"/>
      <c r="O30" s="2520"/>
      <c r="P30" s="3095">
        <f>'XM.FILE GOC'!P30</f>
        <v>53</v>
      </c>
      <c r="Q30" s="3086"/>
      <c r="R30" s="3097"/>
      <c r="S30" s="3086">
        <f>'XM.FILE GOC'!S30</f>
        <v>52</v>
      </c>
      <c r="T30" s="3086"/>
      <c r="U30" s="3087"/>
      <c r="V30" s="2544"/>
      <c r="W30" s="3095">
        <f>'XM.FILE GOC'!W30</f>
        <v>53</v>
      </c>
      <c r="X30" s="3086"/>
      <c r="Y30" s="3097"/>
      <c r="Z30" s="3086">
        <f>'XM.FILE GOC'!Z30</f>
        <v>53</v>
      </c>
      <c r="AA30" s="3086"/>
      <c r="AB30" s="3087"/>
      <c r="AC30" s="2556"/>
      <c r="AD30" s="3095">
        <f>'XM.FILE GOC'!AD30</f>
        <v>54</v>
      </c>
      <c r="AE30" s="3086"/>
      <c r="AF30" s="3097"/>
      <c r="AG30" s="3086">
        <f>'XM.FILE GOC'!AG30</f>
        <v>53</v>
      </c>
      <c r="AH30" s="3086"/>
      <c r="AI30" s="3087"/>
      <c r="AJ30" s="2556"/>
      <c r="AK30" s="3095">
        <f>'XM.FILE GOC'!AK30</f>
        <v>53</v>
      </c>
      <c r="AL30" s="3086"/>
      <c r="AM30" s="3097"/>
      <c r="AN30" s="3086">
        <f>'XM.FILE GOC'!AN30</f>
        <v>52</v>
      </c>
      <c r="AO30" s="3086"/>
      <c r="AP30" s="3087"/>
      <c r="AQ30" s="2556"/>
      <c r="AR30" s="3095">
        <f>'XM.FILE GOC'!AR30</f>
        <v>53</v>
      </c>
      <c r="AS30" s="3086"/>
      <c r="AT30" s="3097"/>
      <c r="AU30" s="3086">
        <f>'XM.FILE GOC'!AU30</f>
        <v>52</v>
      </c>
      <c r="AV30" s="3086"/>
      <c r="AW30" s="3087"/>
      <c r="AY30" s="2156"/>
      <c r="AZ30" s="3360"/>
    </row>
    <row r="31" spans="1:53" s="88" customFormat="1" ht="37.5" customHeight="1">
      <c r="A31" s="1711" t="s">
        <v>254</v>
      </c>
      <c r="B31" s="1031" t="s">
        <v>214</v>
      </c>
      <c r="C31" s="1015" t="s">
        <v>66</v>
      </c>
      <c r="D31" s="21" t="s">
        <v>104</v>
      </c>
      <c r="E31" s="1330" t="s">
        <v>1332</v>
      </c>
      <c r="F31" s="2139" t="s">
        <v>1315</v>
      </c>
      <c r="G31" s="2599"/>
      <c r="H31" s="2600"/>
      <c r="I31" s="3095">
        <f>'XM.FILE GOC'!I31</f>
        <v>0</v>
      </c>
      <c r="J31" s="3086"/>
      <c r="K31" s="3097"/>
      <c r="L31" s="3086">
        <f>'XM.FILE GOC'!L31</f>
        <v>0</v>
      </c>
      <c r="M31" s="3086"/>
      <c r="N31" s="3087"/>
      <c r="O31" s="2520"/>
      <c r="P31" s="3095">
        <f>'XM.FILE GOC'!P31</f>
        <v>55</v>
      </c>
      <c r="Q31" s="3086"/>
      <c r="R31" s="3097"/>
      <c r="S31" s="3086">
        <f>'XM.FILE GOC'!S31</f>
        <v>54</v>
      </c>
      <c r="T31" s="3086"/>
      <c r="U31" s="3087"/>
      <c r="V31" s="2544"/>
      <c r="W31" s="3095">
        <f>'XM.FILE GOC'!W31</f>
        <v>54</v>
      </c>
      <c r="X31" s="3086"/>
      <c r="Y31" s="3097"/>
      <c r="Z31" s="3086">
        <f>'XM.FILE GOC'!Z31</f>
        <v>54</v>
      </c>
      <c r="AA31" s="3086"/>
      <c r="AB31" s="3087"/>
      <c r="AC31" s="2556"/>
      <c r="AD31" s="3095">
        <f>'XM.FILE GOC'!AD31</f>
        <v>50</v>
      </c>
      <c r="AE31" s="3086"/>
      <c r="AF31" s="3097"/>
      <c r="AG31" s="3086">
        <f>'XM.FILE GOC'!AG31</f>
        <v>49</v>
      </c>
      <c r="AH31" s="3086"/>
      <c r="AI31" s="3087"/>
      <c r="AJ31" s="2556"/>
      <c r="AK31" s="3095">
        <f>'XM.FILE GOC'!AK31</f>
        <v>48</v>
      </c>
      <c r="AL31" s="3086"/>
      <c r="AM31" s="3097"/>
      <c r="AN31" s="3086">
        <f>'XM.FILE GOC'!AN31</f>
        <v>47</v>
      </c>
      <c r="AO31" s="3086"/>
      <c r="AP31" s="3087"/>
      <c r="AQ31" s="2556"/>
      <c r="AR31" s="3095">
        <f>'XM.FILE GOC'!AR31</f>
        <v>49</v>
      </c>
      <c r="AS31" s="3086"/>
      <c r="AT31" s="3097"/>
      <c r="AU31" s="3086">
        <f>'XM.FILE GOC'!AU31</f>
        <v>48</v>
      </c>
      <c r="AV31" s="3086"/>
      <c r="AW31" s="3087"/>
      <c r="AY31" s="2156"/>
      <c r="AZ31" s="3360"/>
    </row>
    <row r="32" spans="1:53" s="88" customFormat="1" ht="37.5" customHeight="1">
      <c r="A32" s="1711" t="s">
        <v>312</v>
      </c>
      <c r="B32" s="1031" t="s">
        <v>214</v>
      </c>
      <c r="C32" s="1015" t="s">
        <v>68</v>
      </c>
      <c r="D32" s="21" t="s">
        <v>104</v>
      </c>
      <c r="E32" s="1610" t="s">
        <v>1510</v>
      </c>
      <c r="F32" s="1889" t="s">
        <v>1507</v>
      </c>
      <c r="G32" s="2599"/>
      <c r="H32" s="2600"/>
      <c r="I32" s="3095">
        <f>'XM.FILE GOC'!I32</f>
        <v>0</v>
      </c>
      <c r="J32" s="3086"/>
      <c r="K32" s="3086"/>
      <c r="L32" s="3086">
        <f>'XM.FILE GOC'!L32</f>
        <v>0</v>
      </c>
      <c r="M32" s="3086"/>
      <c r="N32" s="3097"/>
      <c r="O32" s="2521"/>
      <c r="P32" s="3095">
        <f>'XM.FILE GOC'!P32</f>
        <v>28</v>
      </c>
      <c r="Q32" s="3086"/>
      <c r="R32" s="3086"/>
      <c r="S32" s="3086">
        <f>'XM.FILE GOC'!S32</f>
        <v>27</v>
      </c>
      <c r="T32" s="3086"/>
      <c r="U32" s="3097"/>
      <c r="V32" s="2522"/>
      <c r="W32" s="3095">
        <f>'XM.FILE GOC'!W32</f>
        <v>26</v>
      </c>
      <c r="X32" s="3086"/>
      <c r="Y32" s="3086"/>
      <c r="Z32" s="3086">
        <f>'XM.FILE GOC'!Z32</f>
        <v>26</v>
      </c>
      <c r="AA32" s="3086"/>
      <c r="AB32" s="3097"/>
      <c r="AC32" s="2522"/>
      <c r="AD32" s="3095">
        <f>'XM.FILE GOC'!AD32</f>
        <v>31</v>
      </c>
      <c r="AE32" s="3086"/>
      <c r="AF32" s="3086"/>
      <c r="AG32" s="3086">
        <f>'XM.FILE GOC'!AG32</f>
        <v>31</v>
      </c>
      <c r="AH32" s="3086"/>
      <c r="AI32" s="3087"/>
      <c r="AJ32" s="2572"/>
      <c r="AK32" s="3095">
        <f>'XM.FILE GOC'!AK32</f>
        <v>30</v>
      </c>
      <c r="AL32" s="3086"/>
      <c r="AM32" s="3086"/>
      <c r="AN32" s="3086">
        <f>'XM.FILE GOC'!AN32</f>
        <v>29</v>
      </c>
      <c r="AO32" s="3086"/>
      <c r="AP32" s="3087"/>
      <c r="AQ32" s="2572"/>
      <c r="AR32" s="3095">
        <f>'XM.FILE GOC'!AR32</f>
        <v>29</v>
      </c>
      <c r="AS32" s="3086"/>
      <c r="AT32" s="3086"/>
      <c r="AU32" s="3086">
        <f>'XM.FILE GOC'!AU32</f>
        <v>29</v>
      </c>
      <c r="AV32" s="3086"/>
      <c r="AW32" s="3087"/>
      <c r="AY32" s="2156"/>
    </row>
    <row r="33" spans="1:53" s="88" customFormat="1" ht="37.5" customHeight="1">
      <c r="A33" s="1712" t="s">
        <v>255</v>
      </c>
      <c r="B33" s="1031" t="s">
        <v>214</v>
      </c>
      <c r="C33" s="1015" t="s">
        <v>146</v>
      </c>
      <c r="D33" s="21" t="s">
        <v>104</v>
      </c>
      <c r="E33" s="2182" t="s">
        <v>1511</v>
      </c>
      <c r="F33" s="2183" t="s">
        <v>1512</v>
      </c>
      <c r="G33" s="2599"/>
      <c r="H33" s="2600"/>
      <c r="I33" s="3095">
        <f>'XM.FILE GOC'!I33</f>
        <v>0</v>
      </c>
      <c r="J33" s="3086"/>
      <c r="K33" s="3097"/>
      <c r="L33" s="3086">
        <f>'XM.FILE GOC'!L33</f>
        <v>0</v>
      </c>
      <c r="M33" s="3086"/>
      <c r="N33" s="3087"/>
      <c r="O33" s="2521"/>
      <c r="P33" s="3095">
        <f>'XM.FILE GOC'!P33</f>
        <v>33</v>
      </c>
      <c r="Q33" s="3086"/>
      <c r="R33" s="3097"/>
      <c r="S33" s="3086">
        <f>'XM.FILE GOC'!S33</f>
        <v>32</v>
      </c>
      <c r="T33" s="3086"/>
      <c r="U33" s="3087"/>
      <c r="V33" s="2544"/>
      <c r="W33" s="3095">
        <f>'XM.FILE GOC'!W33</f>
        <v>37</v>
      </c>
      <c r="X33" s="3086"/>
      <c r="Y33" s="3097"/>
      <c r="Z33" s="3086">
        <f>'XM.FILE GOC'!Z33</f>
        <v>37</v>
      </c>
      <c r="AA33" s="3086"/>
      <c r="AB33" s="3087"/>
      <c r="AC33" s="2556"/>
      <c r="AD33" s="3095">
        <f>'XM.FILE GOC'!AD33</f>
        <v>37</v>
      </c>
      <c r="AE33" s="3086"/>
      <c r="AF33" s="3097"/>
      <c r="AG33" s="3086">
        <f>'XM.FILE GOC'!AG33</f>
        <v>37</v>
      </c>
      <c r="AH33" s="3086"/>
      <c r="AI33" s="3087"/>
      <c r="AJ33" s="2556"/>
      <c r="AK33" s="3095">
        <f>'XM.FILE GOC'!AK33</f>
        <v>37</v>
      </c>
      <c r="AL33" s="3086"/>
      <c r="AM33" s="3097"/>
      <c r="AN33" s="3086">
        <f>'XM.FILE GOC'!AN33</f>
        <v>36</v>
      </c>
      <c r="AO33" s="3086"/>
      <c r="AP33" s="3087"/>
      <c r="AQ33" s="2556"/>
      <c r="AR33" s="3095">
        <f>'XM.FILE GOC'!AR33</f>
        <v>38</v>
      </c>
      <c r="AS33" s="3086"/>
      <c r="AT33" s="3097"/>
      <c r="AU33" s="3086">
        <f>'XM.FILE GOC'!AU33</f>
        <v>38</v>
      </c>
      <c r="AV33" s="3086"/>
      <c r="AW33" s="3087"/>
      <c r="AY33" s="2156"/>
    </row>
    <row r="34" spans="1:53" s="88" customFormat="1" ht="37.5" customHeight="1">
      <c r="A34" s="1712" t="s">
        <v>256</v>
      </c>
      <c r="B34" s="1031" t="s">
        <v>214</v>
      </c>
      <c r="C34" s="1015" t="s">
        <v>69</v>
      </c>
      <c r="D34" s="21" t="s">
        <v>104</v>
      </c>
      <c r="E34" s="1610" t="s">
        <v>1328</v>
      </c>
      <c r="F34" s="1889" t="s">
        <v>1514</v>
      </c>
      <c r="G34" s="2599"/>
      <c r="H34" s="2600"/>
      <c r="I34" s="3095">
        <f>'XM.FILE GOC'!I34</f>
        <v>0</v>
      </c>
      <c r="J34" s="3086"/>
      <c r="K34" s="3097"/>
      <c r="L34" s="3086">
        <f>'XM.FILE GOC'!L34</f>
        <v>0</v>
      </c>
      <c r="M34" s="3086"/>
      <c r="N34" s="3087"/>
      <c r="O34" s="2521"/>
      <c r="P34" s="3095">
        <f>'XM.FILE GOC'!P34</f>
        <v>44</v>
      </c>
      <c r="Q34" s="3086"/>
      <c r="R34" s="3097"/>
      <c r="S34" s="3086">
        <f>'XM.FILE GOC'!S34</f>
        <v>43</v>
      </c>
      <c r="T34" s="3086"/>
      <c r="U34" s="3087"/>
      <c r="V34" s="2522"/>
      <c r="W34" s="3095">
        <f>'XM.FILE GOC'!W34</f>
        <v>61</v>
      </c>
      <c r="X34" s="3086"/>
      <c r="Y34" s="3097"/>
      <c r="Z34" s="3086">
        <f>'XM.FILE GOC'!Z34</f>
        <v>61</v>
      </c>
      <c r="AA34" s="3086"/>
      <c r="AB34" s="3087"/>
      <c r="AC34" s="2522"/>
      <c r="AD34" s="3095">
        <f>'XM.FILE GOC'!AD34</f>
        <v>57</v>
      </c>
      <c r="AE34" s="3086"/>
      <c r="AF34" s="3097"/>
      <c r="AG34" s="3086">
        <f>'XM.FILE GOC'!AG34</f>
        <v>56</v>
      </c>
      <c r="AH34" s="3086"/>
      <c r="AI34" s="3087"/>
      <c r="AJ34" s="2572"/>
      <c r="AK34" s="3095">
        <f>'XM.FILE GOC'!AK34</f>
        <v>54</v>
      </c>
      <c r="AL34" s="3086"/>
      <c r="AM34" s="3097"/>
      <c r="AN34" s="3086">
        <f>'XM.FILE GOC'!AN34</f>
        <v>53</v>
      </c>
      <c r="AO34" s="3086"/>
      <c r="AP34" s="3087"/>
      <c r="AQ34" s="2572"/>
      <c r="AR34" s="3095">
        <f>'XM.FILE GOC'!AR34</f>
        <v>56</v>
      </c>
      <c r="AS34" s="3086"/>
      <c r="AT34" s="3097"/>
      <c r="AU34" s="3086">
        <f>'XM.FILE GOC'!AU34</f>
        <v>55</v>
      </c>
      <c r="AV34" s="3086"/>
      <c r="AW34" s="3087"/>
      <c r="AY34" s="2156"/>
      <c r="BA34" s="1415"/>
    </row>
    <row r="35" spans="1:53" s="88" customFormat="1" ht="37.5" customHeight="1">
      <c r="A35" s="1041" t="s">
        <v>257</v>
      </c>
      <c r="B35" s="1031" t="s">
        <v>214</v>
      </c>
      <c r="C35" s="1015" t="s">
        <v>70</v>
      </c>
      <c r="D35" s="21" t="s">
        <v>104</v>
      </c>
      <c r="E35" s="1610" t="s">
        <v>1513</v>
      </c>
      <c r="F35" s="1889" t="s">
        <v>1502</v>
      </c>
      <c r="G35" s="2599"/>
      <c r="H35" s="2600"/>
      <c r="I35" s="3092"/>
      <c r="J35" s="3093"/>
      <c r="K35" s="3094"/>
      <c r="L35" s="3086">
        <f>'XM.FILE GOC'!L35</f>
        <v>0</v>
      </c>
      <c r="M35" s="3086"/>
      <c r="N35" s="3087"/>
      <c r="O35" s="2530"/>
      <c r="P35" s="3092"/>
      <c r="Q35" s="3093"/>
      <c r="R35" s="3094"/>
      <c r="S35" s="3086" t="str">
        <f>'XM.FILE GOC'!S35</f>
        <v>chưa mở</v>
      </c>
      <c r="T35" s="3086"/>
      <c r="U35" s="3087"/>
      <c r="V35" s="2530"/>
      <c r="W35" s="3092"/>
      <c r="X35" s="3093"/>
      <c r="Y35" s="3094"/>
      <c r="Z35" s="3086" t="str">
        <f>'XM.FILE GOC'!Z35</f>
        <v>chưa mở</v>
      </c>
      <c r="AA35" s="3086"/>
      <c r="AB35" s="3087"/>
      <c r="AC35" s="2530"/>
      <c r="AD35" s="3092"/>
      <c r="AE35" s="3093"/>
      <c r="AF35" s="3094"/>
      <c r="AG35" s="3086">
        <f>'XM.FILE GOC'!AG35</f>
        <v>92</v>
      </c>
      <c r="AH35" s="3086"/>
      <c r="AI35" s="3087"/>
      <c r="AJ35" s="2530"/>
      <c r="AK35" s="3092"/>
      <c r="AL35" s="3093"/>
      <c r="AM35" s="3094"/>
      <c r="AN35" s="3086">
        <f>'XM.FILE GOC'!AN35</f>
        <v>89</v>
      </c>
      <c r="AO35" s="3086"/>
      <c r="AP35" s="3087"/>
      <c r="AQ35" s="2530"/>
      <c r="AR35" s="3092"/>
      <c r="AS35" s="3093"/>
      <c r="AT35" s="3094"/>
      <c r="AU35" s="3086">
        <f>'XM.FILE GOC'!AU35</f>
        <v>89</v>
      </c>
      <c r="AV35" s="3086"/>
      <c r="AW35" s="3087"/>
      <c r="AY35" s="2156"/>
    </row>
    <row r="36" spans="1:53" s="205" customFormat="1" ht="54" customHeight="1">
      <c r="A36" s="284" t="s">
        <v>74</v>
      </c>
      <c r="B36" s="285"/>
      <c r="C36" s="285"/>
      <c r="D36" s="285"/>
      <c r="E36" s="282"/>
      <c r="F36" s="282"/>
      <c r="G36" s="2596"/>
      <c r="H36" s="2470"/>
      <c r="I36" s="285"/>
      <c r="J36" s="2470"/>
      <c r="K36" s="285"/>
      <c r="L36" s="285"/>
      <c r="M36" s="1617"/>
      <c r="N36" s="285"/>
      <c r="O36" s="2470"/>
      <c r="P36" s="286"/>
      <c r="Q36" s="2470"/>
      <c r="R36" s="285"/>
      <c r="S36" s="285"/>
      <c r="T36" s="1621"/>
      <c r="U36" s="286"/>
      <c r="V36" s="2470"/>
      <c r="W36" s="286"/>
      <c r="X36" s="2470"/>
      <c r="Y36" s="285"/>
      <c r="Z36" s="285"/>
      <c r="AA36" s="1617"/>
      <c r="AB36" s="285"/>
      <c r="AC36" s="2470"/>
      <c r="AD36" s="285"/>
      <c r="AE36" s="2470"/>
      <c r="AF36" s="285"/>
      <c r="AG36" s="285"/>
      <c r="AH36" s="1617"/>
      <c r="AI36" s="285"/>
      <c r="AJ36" s="2569"/>
      <c r="AK36" s="286"/>
      <c r="AL36" s="2569"/>
      <c r="AM36" s="286"/>
      <c r="AN36" s="286"/>
      <c r="AO36" s="1625"/>
      <c r="AP36" s="286"/>
      <c r="AQ36" s="2569"/>
      <c r="AR36" s="286"/>
      <c r="AS36" s="2569"/>
      <c r="AT36" s="286"/>
      <c r="AU36" s="286"/>
      <c r="AV36" s="1625"/>
      <c r="AW36" s="1001"/>
      <c r="AY36" s="2159"/>
      <c r="AZ36" s="3359"/>
      <c r="BA36" s="3359"/>
    </row>
    <row r="37" spans="1:53" s="88" customFormat="1" ht="45.75" customHeight="1">
      <c r="A37" s="1712" t="s">
        <v>258</v>
      </c>
      <c r="B37" s="1031" t="s">
        <v>214</v>
      </c>
      <c r="C37" s="1032" t="s">
        <v>50</v>
      </c>
      <c r="D37" s="1056" t="s">
        <v>1641</v>
      </c>
      <c r="E37" s="266" t="s">
        <v>227</v>
      </c>
      <c r="F37" s="1890" t="s">
        <v>227</v>
      </c>
      <c r="G37" s="2601"/>
      <c r="H37" s="2602"/>
      <c r="I37" s="3295">
        <f>'XM.FILE GOC'!I37</f>
        <v>0</v>
      </c>
      <c r="J37" s="3357"/>
      <c r="K37" s="3357"/>
      <c r="L37" s="3357"/>
      <c r="M37" s="3357"/>
      <c r="N37" s="3282"/>
      <c r="O37" s="2637"/>
      <c r="P37" s="3295">
        <f>'XM.FILE GOC'!P37</f>
        <v>0</v>
      </c>
      <c r="Q37" s="3357"/>
      <c r="R37" s="3357"/>
      <c r="S37" s="3357"/>
      <c r="T37" s="3357"/>
      <c r="U37" s="3282"/>
      <c r="V37" s="2643"/>
      <c r="W37" s="3295">
        <f>'XM.FILE GOC'!W37</f>
        <v>0</v>
      </c>
      <c r="X37" s="3357"/>
      <c r="Y37" s="3357"/>
      <c r="Z37" s="3357"/>
      <c r="AA37" s="3357"/>
      <c r="AB37" s="3282"/>
      <c r="AC37" s="2651"/>
      <c r="AD37" s="3295">
        <f>'XM.FILE GOC'!AD37</f>
        <v>460</v>
      </c>
      <c r="AE37" s="3357"/>
      <c r="AF37" s="3357"/>
      <c r="AG37" s="3357"/>
      <c r="AH37" s="3357"/>
      <c r="AI37" s="3282"/>
      <c r="AJ37" s="2654"/>
      <c r="AK37" s="3295">
        <f>'XM.FILE GOC'!AK37</f>
        <v>450</v>
      </c>
      <c r="AL37" s="3357"/>
      <c r="AM37" s="3357"/>
      <c r="AN37" s="3357"/>
      <c r="AO37" s="3357"/>
      <c r="AP37" s="3282"/>
      <c r="AQ37" s="2654"/>
      <c r="AR37" s="3295">
        <f>'XM.FILE GOC'!AR37</f>
        <v>455</v>
      </c>
      <c r="AS37" s="3357"/>
      <c r="AT37" s="3357"/>
      <c r="AU37" s="3357"/>
      <c r="AV37" s="3357"/>
      <c r="AW37" s="3282"/>
      <c r="AY37" s="2156"/>
    </row>
    <row r="38" spans="1:53" s="88" customFormat="1" ht="45.75" customHeight="1">
      <c r="A38" s="1712" t="s">
        <v>259</v>
      </c>
      <c r="B38" s="1031" t="s">
        <v>214</v>
      </c>
      <c r="C38" s="101" t="s">
        <v>51</v>
      </c>
      <c r="D38" s="1056" t="s">
        <v>1641</v>
      </c>
      <c r="E38" s="1611" t="s">
        <v>228</v>
      </c>
      <c r="F38" s="1891" t="s">
        <v>228</v>
      </c>
      <c r="G38" s="2599"/>
      <c r="H38" s="2603"/>
      <c r="I38" s="3295">
        <f>'XM.FILE GOC'!I38</f>
        <v>0</v>
      </c>
      <c r="J38" s="3357"/>
      <c r="K38" s="3357"/>
      <c r="L38" s="3357"/>
      <c r="M38" s="3357"/>
      <c r="N38" s="3282"/>
      <c r="O38" s="2638"/>
      <c r="P38" s="3295">
        <f>'XM.FILE GOC'!P38</f>
        <v>0</v>
      </c>
      <c r="Q38" s="3357"/>
      <c r="R38" s="3357"/>
      <c r="S38" s="3357"/>
      <c r="T38" s="3357"/>
      <c r="U38" s="3282"/>
      <c r="V38" s="2644"/>
      <c r="W38" s="3295">
        <f>'XM.FILE GOC'!W38</f>
        <v>0</v>
      </c>
      <c r="X38" s="3357"/>
      <c r="Y38" s="3357"/>
      <c r="Z38" s="3357"/>
      <c r="AA38" s="3357"/>
      <c r="AB38" s="3282"/>
      <c r="AC38" s="2638"/>
      <c r="AD38" s="3295" t="str">
        <f>'XM.FILE GOC'!AD38</f>
        <v xml:space="preserve">SHOP </v>
      </c>
      <c r="AE38" s="3357"/>
      <c r="AF38" s="3357"/>
      <c r="AG38" s="3357"/>
      <c r="AH38" s="3357"/>
      <c r="AI38" s="3282"/>
      <c r="AJ38" s="2655"/>
      <c r="AK38" s="3295" t="str">
        <f>'XM.FILE GOC'!AK38</f>
        <v xml:space="preserve">SHOP </v>
      </c>
      <c r="AL38" s="3357"/>
      <c r="AM38" s="3357"/>
      <c r="AN38" s="3357"/>
      <c r="AO38" s="3357"/>
      <c r="AP38" s="3282"/>
      <c r="AQ38" s="2655"/>
      <c r="AR38" s="3295" t="str">
        <f>'XM.FILE GOC'!AR38</f>
        <v xml:space="preserve">SHOP </v>
      </c>
      <c r="AS38" s="3357"/>
      <c r="AT38" s="3357"/>
      <c r="AU38" s="3357"/>
      <c r="AV38" s="3357"/>
      <c r="AW38" s="3282"/>
      <c r="AY38" s="2156"/>
    </row>
    <row r="39" spans="1:53" s="88" customFormat="1" ht="22.5" customHeight="1">
      <c r="A39" s="1715"/>
      <c r="B39" s="273"/>
      <c r="C39" s="1016"/>
      <c r="D39" s="206"/>
      <c r="E39" s="206"/>
      <c r="F39" s="206"/>
      <c r="G39" s="2604"/>
      <c r="H39" s="2604"/>
      <c r="I39" s="206"/>
      <c r="J39" s="2629"/>
      <c r="K39" s="1016"/>
      <c r="L39" s="1016"/>
      <c r="M39" s="1618"/>
      <c r="N39" s="1016"/>
      <c r="O39" s="2629"/>
      <c r="P39" s="1016"/>
      <c r="Q39" s="2629"/>
      <c r="R39" s="1016"/>
      <c r="S39" s="1016"/>
      <c r="T39" s="1618"/>
      <c r="U39" s="1016"/>
      <c r="V39" s="2075"/>
      <c r="W39" s="1016"/>
      <c r="X39" s="2629"/>
      <c r="Y39" s="1016"/>
      <c r="Z39" s="1016"/>
      <c r="AA39" s="1618"/>
      <c r="AB39" s="1016"/>
      <c r="AC39" s="2629"/>
      <c r="AD39" s="1016"/>
      <c r="AE39" s="2629"/>
      <c r="AF39" s="1016"/>
      <c r="AG39" s="1016"/>
      <c r="AH39" s="1618"/>
      <c r="AI39" s="1016"/>
      <c r="AJ39" s="2656"/>
      <c r="AK39" s="1015"/>
      <c r="AL39" s="2598"/>
      <c r="AM39" s="89"/>
      <c r="AN39" s="89"/>
      <c r="AO39" s="1626"/>
      <c r="AP39" s="89"/>
      <c r="AQ39" s="2656"/>
      <c r="AR39" s="89"/>
      <c r="AS39" s="2598"/>
      <c r="AT39" s="89"/>
      <c r="AU39" s="89"/>
      <c r="AV39" s="1626"/>
      <c r="AW39" s="89"/>
      <c r="AY39" s="2157"/>
    </row>
    <row r="40" spans="1:53" ht="41.25" customHeight="1">
      <c r="A40" s="1939"/>
      <c r="B40" s="1929"/>
      <c r="C40" s="1939" t="s">
        <v>1468</v>
      </c>
      <c r="D40" s="1930"/>
      <c r="E40" s="2076"/>
      <c r="F40" s="1930"/>
      <c r="G40" s="2584" t="s">
        <v>84</v>
      </c>
      <c r="H40" s="2457"/>
      <c r="I40" s="1940" t="str">
        <f>MENU!$AC$9</f>
        <v>Thứ 5,</v>
      </c>
      <c r="J40" s="2457"/>
      <c r="K40" s="1934"/>
      <c r="L40" s="1935" t="str">
        <f>MENU!$AD$9</f>
        <v>2024/08/01</v>
      </c>
      <c r="M40" s="1941"/>
      <c r="N40" s="1936"/>
      <c r="O40" s="2485"/>
      <c r="P40" s="1936"/>
      <c r="Q40" s="2485"/>
      <c r="R40" s="1936"/>
      <c r="S40" s="1936"/>
      <c r="T40" s="1941"/>
      <c r="U40" s="1934"/>
      <c r="V40" s="2457"/>
      <c r="W40" s="1934"/>
      <c r="X40" s="2457"/>
      <c r="Y40" s="1934"/>
      <c r="Z40" s="1934"/>
      <c r="AA40" s="1942"/>
      <c r="AB40" s="1934"/>
      <c r="AC40" s="2457"/>
      <c r="AD40" s="1943" t="s">
        <v>213</v>
      </c>
      <c r="AE40" s="2457"/>
      <c r="AF40" s="1934"/>
      <c r="AG40" s="1934"/>
      <c r="AH40" s="1942"/>
      <c r="AI40" s="1934"/>
      <c r="AK40" s="1929"/>
      <c r="AL40" s="2576"/>
      <c r="AM40" s="1937"/>
      <c r="AN40" s="1937"/>
      <c r="AO40" s="1944"/>
      <c r="AP40" s="1937"/>
      <c r="AQ40" s="2576"/>
      <c r="AR40" s="1937"/>
      <c r="AS40" s="2576"/>
      <c r="AT40" s="1937"/>
      <c r="AU40" s="1937"/>
      <c r="AV40" s="1944"/>
      <c r="AW40" s="1938"/>
      <c r="AY40" s="3353" t="s">
        <v>1503</v>
      </c>
    </row>
    <row r="41" spans="1:53" ht="36.75" customHeight="1">
      <c r="A41" s="1716"/>
      <c r="B41" s="1027"/>
      <c r="C41" s="1027"/>
      <c r="D41" s="1027"/>
      <c r="E41" s="1598"/>
      <c r="F41" s="1892"/>
      <c r="G41" s="3361" t="s">
        <v>124</v>
      </c>
      <c r="H41" s="2585"/>
      <c r="I41" s="268" t="s">
        <v>1454</v>
      </c>
      <c r="J41" s="2458"/>
      <c r="K41" s="268"/>
      <c r="L41" s="268"/>
      <c r="M41" s="1616"/>
      <c r="N41" s="268"/>
      <c r="O41" s="2509"/>
      <c r="P41" s="281" t="s">
        <v>1444</v>
      </c>
      <c r="Q41" s="2458"/>
      <c r="R41" s="268"/>
      <c r="S41" s="268"/>
      <c r="T41" s="1616"/>
      <c r="U41" s="269"/>
      <c r="V41" s="2458"/>
      <c r="W41" s="268" t="s">
        <v>1445</v>
      </c>
      <c r="X41" s="2458"/>
      <c r="Y41" s="268"/>
      <c r="Z41" s="268"/>
      <c r="AA41" s="1616"/>
      <c r="AB41" s="268"/>
      <c r="AC41" s="2509"/>
      <c r="AD41" s="281" t="s">
        <v>1446</v>
      </c>
      <c r="AE41" s="2458"/>
      <c r="AF41" s="268"/>
      <c r="AG41" s="268"/>
      <c r="AH41" s="1616"/>
      <c r="AI41" s="269"/>
      <c r="AJ41" s="2458"/>
      <c r="AK41" s="268" t="s">
        <v>1447</v>
      </c>
      <c r="AL41" s="2458"/>
      <c r="AM41" s="268"/>
      <c r="AN41" s="268"/>
      <c r="AO41" s="1616"/>
      <c r="AP41" s="268"/>
      <c r="AQ41" s="2458"/>
      <c r="AR41" s="281" t="s">
        <v>1448</v>
      </c>
      <c r="AS41" s="2458"/>
      <c r="AT41" s="268"/>
      <c r="AU41" s="269"/>
      <c r="AV41" s="1627"/>
      <c r="AW41" s="1000"/>
      <c r="AY41" s="3353"/>
    </row>
    <row r="42" spans="1:53" ht="63.75" customHeight="1">
      <c r="A42" s="1717" t="s">
        <v>236</v>
      </c>
      <c r="B42" s="1030" t="s">
        <v>315</v>
      </c>
      <c r="C42" s="1034" t="s">
        <v>314</v>
      </c>
      <c r="D42" s="1823" t="s">
        <v>123</v>
      </c>
      <c r="E42" s="1382" t="s">
        <v>1290</v>
      </c>
      <c r="F42" s="1893" t="s">
        <v>1289</v>
      </c>
      <c r="G42" s="3362"/>
      <c r="H42" s="2542"/>
      <c r="I42" s="1754" t="s">
        <v>1431</v>
      </c>
      <c r="J42" s="2624" t="s">
        <v>1</v>
      </c>
      <c r="K42" s="3350" t="s">
        <v>1432</v>
      </c>
      <c r="L42" s="3350"/>
      <c r="M42" s="3351" t="s">
        <v>1489</v>
      </c>
      <c r="N42" s="3352"/>
      <c r="O42" s="2510"/>
      <c r="P42" s="1754" t="s">
        <v>1431</v>
      </c>
      <c r="Q42" s="2624" t="s">
        <v>1</v>
      </c>
      <c r="R42" s="3350" t="s">
        <v>1432</v>
      </c>
      <c r="S42" s="3350"/>
      <c r="T42" s="3351" t="s">
        <v>1489</v>
      </c>
      <c r="U42" s="3352"/>
      <c r="V42" s="2542"/>
      <c r="W42" s="2004" t="s">
        <v>1431</v>
      </c>
      <c r="X42" s="2624" t="s">
        <v>1</v>
      </c>
      <c r="Y42" s="3350" t="s">
        <v>1432</v>
      </c>
      <c r="Z42" s="3350"/>
      <c r="AA42" s="3351" t="s">
        <v>1489</v>
      </c>
      <c r="AB42" s="3352"/>
      <c r="AC42" s="2510"/>
      <c r="AD42" s="2004" t="s">
        <v>1431</v>
      </c>
      <c r="AE42" s="2624" t="s">
        <v>1</v>
      </c>
      <c r="AF42" s="3350" t="s">
        <v>1432</v>
      </c>
      <c r="AG42" s="3350"/>
      <c r="AH42" s="3351" t="s">
        <v>1489</v>
      </c>
      <c r="AI42" s="3352"/>
      <c r="AJ42" s="2510"/>
      <c r="AK42" s="2004" t="s">
        <v>1431</v>
      </c>
      <c r="AL42" s="2624" t="s">
        <v>1</v>
      </c>
      <c r="AM42" s="3350" t="s">
        <v>1432</v>
      </c>
      <c r="AN42" s="3350"/>
      <c r="AO42" s="3351" t="s">
        <v>1489</v>
      </c>
      <c r="AP42" s="3352"/>
      <c r="AQ42" s="2510"/>
      <c r="AR42" s="1754" t="s">
        <v>1431</v>
      </c>
      <c r="AS42" s="2624" t="s">
        <v>1</v>
      </c>
      <c r="AT42" s="3350" t="s">
        <v>1432</v>
      </c>
      <c r="AU42" s="3350"/>
      <c r="AV42" s="3351" t="s">
        <v>1489</v>
      </c>
      <c r="AW42" s="3352"/>
      <c r="AY42" s="3353"/>
    </row>
    <row r="43" spans="1:53" ht="39.75" customHeight="1">
      <c r="A43" s="1827" t="s">
        <v>260</v>
      </c>
      <c r="B43" s="1828" t="s">
        <v>213</v>
      </c>
      <c r="C43" s="1865" t="s">
        <v>1470</v>
      </c>
      <c r="D43" s="1829" t="s">
        <v>4</v>
      </c>
      <c r="E43" s="1830" t="s">
        <v>1322</v>
      </c>
      <c r="F43" s="1894" t="s">
        <v>1316</v>
      </c>
      <c r="G43" s="2586">
        <v>70</v>
      </c>
      <c r="H43" s="2548">
        <f>XM.HN!B26</f>
        <v>11</v>
      </c>
      <c r="I43" s="1922">
        <f>H43*6.49</f>
        <v>71.39</v>
      </c>
      <c r="J43" s="2460">
        <f>($G$43-I43)*2693/1000</f>
        <v>-3.7432700000000012</v>
      </c>
      <c r="K43" s="1835" t="s">
        <v>8</v>
      </c>
      <c r="L43" s="1836">
        <f>IF(I43=0,0,IF(J43&lt;0,0,J43))</f>
        <v>0</v>
      </c>
      <c r="M43" s="2034" t="str">
        <f>IF('2. XL-1F TT '!AB6="","",'2. XL-1F TT '!AB6)</f>
        <v/>
      </c>
      <c r="N43" s="1838" t="s">
        <v>9</v>
      </c>
      <c r="O43" s="2511">
        <f>XM.HN!C26</f>
        <v>11.2</v>
      </c>
      <c r="P43" s="1922">
        <f>O43*6.49</f>
        <v>72.688000000000002</v>
      </c>
      <c r="Q43" s="2460">
        <f>($G$43-P43)*2693/1000</f>
        <v>-7.2387840000000061</v>
      </c>
      <c r="R43" s="1835" t="s">
        <v>8</v>
      </c>
      <c r="S43" s="1836">
        <f>IF(P43=0,0,IF(Q43&lt;0,0,Q43))</f>
        <v>0</v>
      </c>
      <c r="T43" s="2034" t="str">
        <f>IF('2. XL-1F TT '!AF6="","",'2. XL-1F TT '!AF6)</f>
        <v/>
      </c>
      <c r="U43" s="1838" t="s">
        <v>9</v>
      </c>
      <c r="V43" s="2511">
        <f>XM.HN!D26</f>
        <v>11.15</v>
      </c>
      <c r="W43" s="2000">
        <f>V43*6.49</f>
        <v>72.363500000000002</v>
      </c>
      <c r="X43" s="2648">
        <f>($G$43-W43)*2693/1000</f>
        <v>-6.3649055000000052</v>
      </c>
      <c r="Y43" s="2001" t="s">
        <v>8</v>
      </c>
      <c r="Z43" s="2002">
        <f>IF(W43=0,0,IF(X43&lt;0,0,X43))</f>
        <v>0</v>
      </c>
      <c r="AA43" s="2234" t="str">
        <f>IF('2. XL-1F TT '!AJ6="","",'2. XL-1F TT '!AJ6)</f>
        <v/>
      </c>
      <c r="AB43" s="2003" t="s">
        <v>9</v>
      </c>
      <c r="AC43" s="2652">
        <f>XM.HN!E26</f>
        <v>10.1</v>
      </c>
      <c r="AD43" s="2000">
        <f>AC43*6.49</f>
        <v>65.549000000000007</v>
      </c>
      <c r="AE43" s="2461">
        <f>($G$43-AD43)*2693/1000</f>
        <v>11.986542999999982</v>
      </c>
      <c r="AF43" s="1847" t="s">
        <v>8</v>
      </c>
      <c r="AG43" s="1926">
        <f>IF(AD43=0,0,IF(AE43&lt;0,0,AE43))</f>
        <v>11.986542999999982</v>
      </c>
      <c r="AH43" s="2034" t="str">
        <f>IF('2. XL-1F TT(CA2)'!AB6="","",'2. XL-1F TT(CA2)'!AB6)</f>
        <v>có</v>
      </c>
      <c r="AI43" s="1838" t="s">
        <v>9</v>
      </c>
      <c r="AJ43" s="2511">
        <f>XM.HN!F26</f>
        <v>10.199999999999999</v>
      </c>
      <c r="AK43" s="1922">
        <f>AJ43*6.49</f>
        <v>66.197999999999993</v>
      </c>
      <c r="AL43" s="2460">
        <f>($G$43-AK43)*2693/1000</f>
        <v>10.238786000000019</v>
      </c>
      <c r="AM43" s="1835" t="s">
        <v>8</v>
      </c>
      <c r="AN43" s="1836">
        <f>IF(AK43=0,0,IF(AL43&lt;0,0,AL43))</f>
        <v>10.238786000000019</v>
      </c>
      <c r="AO43" s="2034" t="str">
        <f>IF('2. XL-1F TT(CA2)'!AF6="","",'2. XL-1F TT(CA2)'!AF6)</f>
        <v/>
      </c>
      <c r="AP43" s="1838" t="s">
        <v>9</v>
      </c>
      <c r="AQ43" s="2511">
        <f>XM.HN!G26</f>
        <v>10.4</v>
      </c>
      <c r="AR43" s="1922">
        <f>AQ43*6.49</f>
        <v>67.496000000000009</v>
      </c>
      <c r="AS43" s="2460">
        <f>($G$43-AR43)*2693/1000</f>
        <v>6.7432719999999744</v>
      </c>
      <c r="AT43" s="1835" t="s">
        <v>8</v>
      </c>
      <c r="AU43" s="1836">
        <f>IF(AR43=0,0,IF(AS43&lt;0,0,AS43))</f>
        <v>6.7432719999999744</v>
      </c>
      <c r="AV43" s="2034" t="str">
        <f>IF('2. XL-1F TT(CA2)'!AJ6="","",'2. XL-1F TT(CA2)'!AJ6)</f>
        <v/>
      </c>
      <c r="AW43" s="1838" t="s">
        <v>9</v>
      </c>
      <c r="AY43" s="3345"/>
    </row>
    <row r="44" spans="1:53" ht="39.75" customHeight="1">
      <c r="A44" s="1850"/>
      <c r="B44" s="1851"/>
      <c r="C44" s="1864" t="s">
        <v>230</v>
      </c>
      <c r="D44" s="1853"/>
      <c r="E44" s="1854" t="s">
        <v>1348</v>
      </c>
      <c r="F44" s="1895"/>
      <c r="G44" s="2589"/>
      <c r="H44" s="2549"/>
      <c r="I44" s="1875"/>
      <c r="J44" s="2462"/>
      <c r="K44" s="1858" t="s">
        <v>8</v>
      </c>
      <c r="L44" s="1862">
        <f>L43/25*7.5</f>
        <v>0</v>
      </c>
      <c r="M44" s="2036" t="str">
        <f>IF('2. XL-1F TT '!AB7="","",'2. XL-1F TT '!AB7)</f>
        <v/>
      </c>
      <c r="N44" s="1860" t="s">
        <v>10</v>
      </c>
      <c r="O44" s="2513"/>
      <c r="P44" s="1875"/>
      <c r="Q44" s="2462"/>
      <c r="R44" s="1858" t="s">
        <v>8</v>
      </c>
      <c r="S44" s="1862">
        <f>S43/25*7.5</f>
        <v>0</v>
      </c>
      <c r="T44" s="2036" t="str">
        <f>IF('2. XL-1F TT '!AF7="","",'2. XL-1F TT '!AF7)</f>
        <v/>
      </c>
      <c r="U44" s="1860" t="s">
        <v>10</v>
      </c>
      <c r="V44" s="2513"/>
      <c r="W44" s="1875"/>
      <c r="X44" s="2462"/>
      <c r="Y44" s="1858" t="s">
        <v>8</v>
      </c>
      <c r="Z44" s="1862">
        <f>Z43/25*7.5</f>
        <v>0</v>
      </c>
      <c r="AA44" s="2036" t="str">
        <f>IF('2. XL-1F TT '!AJ7="","",'2. XL-1F TT '!AJ7)</f>
        <v/>
      </c>
      <c r="AB44" s="1860" t="s">
        <v>10</v>
      </c>
      <c r="AC44" s="2513"/>
      <c r="AD44" s="1875"/>
      <c r="AE44" s="2462"/>
      <c r="AF44" s="1858" t="s">
        <v>8</v>
      </c>
      <c r="AG44" s="1862">
        <f>AG43/25*7.5</f>
        <v>3.5959628999999946</v>
      </c>
      <c r="AH44" s="2036" t="str">
        <f>IF('2. XL-1F TT(CA2)'!AB7="","",'2. XL-1F TT(CA2)'!AB7)</f>
        <v/>
      </c>
      <c r="AI44" s="1860" t="s">
        <v>10</v>
      </c>
      <c r="AJ44" s="2513"/>
      <c r="AK44" s="1875"/>
      <c r="AL44" s="2462"/>
      <c r="AM44" s="1858" t="s">
        <v>8</v>
      </c>
      <c r="AN44" s="1862">
        <f>AN43/25*7.5</f>
        <v>3.0716358000000059</v>
      </c>
      <c r="AO44" s="2036" t="str">
        <f>IF('2. XL-1F TT(CA2)'!AF7="","",'2. XL-1F TT(CA2)'!AF7)</f>
        <v/>
      </c>
      <c r="AP44" s="1860" t="s">
        <v>10</v>
      </c>
      <c r="AQ44" s="2513"/>
      <c r="AR44" s="1875"/>
      <c r="AS44" s="2462"/>
      <c r="AT44" s="1858" t="s">
        <v>8</v>
      </c>
      <c r="AU44" s="1862">
        <f>AU43/25*7.5</f>
        <v>2.0229815999999921</v>
      </c>
      <c r="AV44" s="2036" t="str">
        <f>IF('2. XL-1F TT(CA2)'!AJ7="","",'2. XL-1F TT(CA2)'!AJ7)</f>
        <v/>
      </c>
      <c r="AW44" s="1860" t="s">
        <v>10</v>
      </c>
      <c r="AY44" s="3346"/>
    </row>
    <row r="45" spans="1:53" ht="39.75" customHeight="1">
      <c r="A45" s="1827" t="s">
        <v>261</v>
      </c>
      <c r="B45" s="1828" t="s">
        <v>213</v>
      </c>
      <c r="C45" s="1865" t="s">
        <v>1471</v>
      </c>
      <c r="D45" s="1829" t="s">
        <v>4</v>
      </c>
      <c r="E45" s="1830" t="s">
        <v>1322</v>
      </c>
      <c r="F45" s="1894" t="s">
        <v>1316</v>
      </c>
      <c r="G45" s="2586">
        <v>70</v>
      </c>
      <c r="H45" s="2548">
        <f>XM.HN!B28</f>
        <v>11.1</v>
      </c>
      <c r="I45" s="1922">
        <f>H45*6.49</f>
        <v>72.039000000000001</v>
      </c>
      <c r="J45" s="2460">
        <f>($G$45-I45)*3305/1000</f>
        <v>-6.7388950000000047</v>
      </c>
      <c r="K45" s="1835" t="s">
        <v>8</v>
      </c>
      <c r="L45" s="1836">
        <f t="shared" ref="L45:L58" si="6">IF(I45=0,0,IF(J45&lt;0,0,J45))</f>
        <v>0</v>
      </c>
      <c r="M45" s="2034" t="str">
        <f>IF('2. XL-1F TT '!AB8="","",'2. XL-1F TT '!AB8)</f>
        <v/>
      </c>
      <c r="N45" s="1838" t="s">
        <v>9</v>
      </c>
      <c r="O45" s="2511">
        <f>XM.HN!C28</f>
        <v>11.55</v>
      </c>
      <c r="P45" s="1922">
        <f>O45*6.49</f>
        <v>74.959500000000006</v>
      </c>
      <c r="Q45" s="2460">
        <f>($G$45-P45)*3305/1000</f>
        <v>-16.391147500000017</v>
      </c>
      <c r="R45" s="1835" t="s">
        <v>8</v>
      </c>
      <c r="S45" s="1836">
        <f t="shared" ref="S45:S58" si="7">IF(P45=0,0,IF(Q45&lt;0,0,Q45))</f>
        <v>0</v>
      </c>
      <c r="T45" s="2034" t="str">
        <f>IF('2. XL-1F TT '!AF8="","",'2. XL-1F TT '!AF8)</f>
        <v/>
      </c>
      <c r="U45" s="1838" t="s">
        <v>9</v>
      </c>
      <c r="V45" s="2511">
        <f>XM.HN!D28</f>
        <v>11.5</v>
      </c>
      <c r="W45" s="1922">
        <f>V45*6.49</f>
        <v>74.635000000000005</v>
      </c>
      <c r="X45" s="2460">
        <f>($G$45-W45)*3305/1000</f>
        <v>-15.318675000000017</v>
      </c>
      <c r="Y45" s="1835" t="s">
        <v>8</v>
      </c>
      <c r="Z45" s="1836">
        <f t="shared" ref="Z45:Z58" si="8">IF(W45=0,0,IF(X45&lt;0,0,X45))</f>
        <v>0</v>
      </c>
      <c r="AA45" s="2034" t="str">
        <f>IF('2. XL-1F TT '!AJ8="","",'2. XL-1F TT '!AJ8)</f>
        <v/>
      </c>
      <c r="AB45" s="1838" t="s">
        <v>9</v>
      </c>
      <c r="AC45" s="2511">
        <f>XM.HN!E28</f>
        <v>11.4</v>
      </c>
      <c r="AD45" s="1922">
        <f>AC45*6.49</f>
        <v>73.986000000000004</v>
      </c>
      <c r="AE45" s="2460">
        <f>($G$45-AD45)*3305/1000</f>
        <v>-13.173730000000013</v>
      </c>
      <c r="AF45" s="1835" t="s">
        <v>8</v>
      </c>
      <c r="AG45" s="1836">
        <f t="shared" ref="AG45:AG58" si="9">IF(AD45=0,0,IF(AE45&lt;0,0,AE45))</f>
        <v>0</v>
      </c>
      <c r="AH45" s="2034" t="str">
        <f>IF('2. XL-1F TT(CA2)'!AB8="","",'2. XL-1F TT(CA2)'!AB8)</f>
        <v/>
      </c>
      <c r="AI45" s="1838" t="s">
        <v>9</v>
      </c>
      <c r="AJ45" s="2511">
        <f>XM.HN!F28</f>
        <v>11.5</v>
      </c>
      <c r="AK45" s="1922">
        <f>AJ45*6.49</f>
        <v>74.635000000000005</v>
      </c>
      <c r="AL45" s="2460">
        <f>($G$45-AK45)*3305/1000</f>
        <v>-15.318675000000017</v>
      </c>
      <c r="AM45" s="1835" t="s">
        <v>8</v>
      </c>
      <c r="AN45" s="1836">
        <f t="shared" ref="AN45:AN58" si="10">IF(AK45=0,0,IF(AL45&lt;0,0,AL45))</f>
        <v>0</v>
      </c>
      <c r="AO45" s="2034" t="str">
        <f>IF('2. XL-1F TT(CA2)'!AF8="","",'2. XL-1F TT(CA2)'!AF8)</f>
        <v/>
      </c>
      <c r="AP45" s="1838" t="s">
        <v>9</v>
      </c>
      <c r="AQ45" s="2511">
        <f>XM.HN!G28</f>
        <v>11.5</v>
      </c>
      <c r="AR45" s="1922">
        <f>AQ45*6.49</f>
        <v>74.635000000000005</v>
      </c>
      <c r="AS45" s="2460">
        <f>($G$45-AR45)*3305/1000</f>
        <v>-15.318675000000017</v>
      </c>
      <c r="AT45" s="1835" t="s">
        <v>8</v>
      </c>
      <c r="AU45" s="1836">
        <f t="shared" ref="AU45:AU58" si="11">IF(AR45=0,0,IF(AS45&lt;0,0,AS45))</f>
        <v>0</v>
      </c>
      <c r="AV45" s="2034" t="str">
        <f>IF('2. XL-1F TT(CA2)'!AJ8="","",'2. XL-1F TT(CA2)'!AJ8)</f>
        <v/>
      </c>
      <c r="AW45" s="1838" t="s">
        <v>9</v>
      </c>
      <c r="AY45" s="3345"/>
    </row>
    <row r="46" spans="1:53" ht="39.75" customHeight="1">
      <c r="A46" s="1850"/>
      <c r="B46" s="1851"/>
      <c r="C46" s="1864" t="s">
        <v>230</v>
      </c>
      <c r="D46" s="1853"/>
      <c r="E46" s="1854" t="s">
        <v>1348</v>
      </c>
      <c r="F46" s="1895"/>
      <c r="G46" s="2589"/>
      <c r="H46" s="2549"/>
      <c r="I46" s="1875"/>
      <c r="J46" s="2462"/>
      <c r="K46" s="1858" t="s">
        <v>8</v>
      </c>
      <c r="L46" s="1862">
        <f>L45/25*7.5</f>
        <v>0</v>
      </c>
      <c r="M46" s="2036" t="str">
        <f>IF('2. XL-1F TT '!AB9="","",'2. XL-1F TT '!AB9)</f>
        <v/>
      </c>
      <c r="N46" s="1860" t="s">
        <v>10</v>
      </c>
      <c r="O46" s="2513"/>
      <c r="P46" s="1875"/>
      <c r="Q46" s="2462"/>
      <c r="R46" s="1858" t="s">
        <v>8</v>
      </c>
      <c r="S46" s="1862">
        <f>S45/25*7.5</f>
        <v>0</v>
      </c>
      <c r="T46" s="2036" t="str">
        <f>IF('2. XL-1F TT '!AF9="","",'2. XL-1F TT '!AF9)</f>
        <v/>
      </c>
      <c r="U46" s="1860" t="s">
        <v>10</v>
      </c>
      <c r="V46" s="2513"/>
      <c r="W46" s="1875"/>
      <c r="X46" s="2462"/>
      <c r="Y46" s="1858" t="s">
        <v>8</v>
      </c>
      <c r="Z46" s="1862">
        <f>Z45/25*7.5</f>
        <v>0</v>
      </c>
      <c r="AA46" s="2036" t="str">
        <f>IF('2. XL-1F TT '!AJ9="","",'2. XL-1F TT '!AJ9)</f>
        <v/>
      </c>
      <c r="AB46" s="1860" t="s">
        <v>10</v>
      </c>
      <c r="AC46" s="2513"/>
      <c r="AD46" s="1875"/>
      <c r="AE46" s="2462"/>
      <c r="AF46" s="1858" t="s">
        <v>8</v>
      </c>
      <c r="AG46" s="1862">
        <f>AG45/25*7.5</f>
        <v>0</v>
      </c>
      <c r="AH46" s="2036" t="str">
        <f>IF('2. XL-1F TT(CA2)'!AB9="","",'2. XL-1F TT(CA2)'!AB9)</f>
        <v/>
      </c>
      <c r="AI46" s="1860" t="s">
        <v>10</v>
      </c>
      <c r="AJ46" s="2513"/>
      <c r="AK46" s="1875"/>
      <c r="AL46" s="2462"/>
      <c r="AM46" s="1858" t="s">
        <v>8</v>
      </c>
      <c r="AN46" s="1862">
        <f>AN45/25*7.5</f>
        <v>0</v>
      </c>
      <c r="AO46" s="2036" t="str">
        <f>IF('2. XL-1F TT(CA2)'!AF9="","",'2. XL-1F TT(CA2)'!AF9)</f>
        <v/>
      </c>
      <c r="AP46" s="1860" t="s">
        <v>10</v>
      </c>
      <c r="AQ46" s="2513"/>
      <c r="AR46" s="1875"/>
      <c r="AS46" s="2462"/>
      <c r="AT46" s="1858" t="s">
        <v>8</v>
      </c>
      <c r="AU46" s="1862">
        <f>AU45/25*7.5</f>
        <v>0</v>
      </c>
      <c r="AV46" s="2036" t="str">
        <f>IF('2. XL-1F TT(CA2)'!AJ9="","",'2. XL-1F TT(CA2)'!AJ9)</f>
        <v/>
      </c>
      <c r="AW46" s="1860" t="s">
        <v>10</v>
      </c>
      <c r="AY46" s="3346"/>
    </row>
    <row r="47" spans="1:53" ht="45" customHeight="1">
      <c r="A47" s="1827" t="s">
        <v>262</v>
      </c>
      <c r="B47" s="1828" t="s">
        <v>213</v>
      </c>
      <c r="C47" s="1865" t="s">
        <v>1472</v>
      </c>
      <c r="D47" s="1829" t="s">
        <v>4</v>
      </c>
      <c r="E47" s="1830" t="s">
        <v>1328</v>
      </c>
      <c r="F47" s="1894" t="s">
        <v>1514</v>
      </c>
      <c r="G47" s="2586">
        <v>60</v>
      </c>
      <c r="H47" s="2548">
        <f>XM.HN!B30</f>
        <v>11.95</v>
      </c>
      <c r="I47" s="1922">
        <f>H47*4.62</f>
        <v>55.208999999999996</v>
      </c>
      <c r="J47" s="2460">
        <f>($G$47-I47)*1156/1000</f>
        <v>5.5383960000000041</v>
      </c>
      <c r="K47" s="1835" t="s">
        <v>8</v>
      </c>
      <c r="L47" s="1836">
        <f t="shared" si="6"/>
        <v>5.5383960000000041</v>
      </c>
      <c r="M47" s="2034" t="str">
        <f>IF('2. XL-1F TT '!AB10="","",'2. XL-1F TT '!AB10)</f>
        <v>CÓ</v>
      </c>
      <c r="N47" s="1838" t="s">
        <v>9</v>
      </c>
      <c r="O47" s="2511">
        <f>XM.HN!C30</f>
        <v>13</v>
      </c>
      <c r="P47" s="1922">
        <f>O47*4.62</f>
        <v>60.06</v>
      </c>
      <c r="Q47" s="2460">
        <f>($G$47-P47)*1156/1000</f>
        <v>-6.9360000000002628E-2</v>
      </c>
      <c r="R47" s="1835" t="s">
        <v>8</v>
      </c>
      <c r="S47" s="1836">
        <f t="shared" si="7"/>
        <v>0</v>
      </c>
      <c r="T47" s="2034" t="str">
        <f>IF('2. XL-1F TT '!AF10="","",'2. XL-1F TT '!AF10)</f>
        <v/>
      </c>
      <c r="U47" s="1838" t="s">
        <v>9</v>
      </c>
      <c r="V47" s="2511">
        <f>XM.HN!D30</f>
        <v>13.3</v>
      </c>
      <c r="W47" s="1922">
        <f>V47*4.62</f>
        <v>61.446000000000005</v>
      </c>
      <c r="X47" s="2460">
        <f>($G$47-W47)*1156/1000</f>
        <v>-1.6715760000000059</v>
      </c>
      <c r="Y47" s="1835" t="s">
        <v>8</v>
      </c>
      <c r="Z47" s="1836">
        <f t="shared" si="8"/>
        <v>0</v>
      </c>
      <c r="AA47" s="2034" t="str">
        <f>IF('2. XL-1F TT '!AJ10="","",'2. XL-1F TT '!AJ10)</f>
        <v/>
      </c>
      <c r="AB47" s="1838" t="s">
        <v>9</v>
      </c>
      <c r="AC47" s="2511">
        <f>XM.HN!E30</f>
        <v>13.5</v>
      </c>
      <c r="AD47" s="1922">
        <f>AC47*4.62</f>
        <v>62.370000000000005</v>
      </c>
      <c r="AE47" s="2460">
        <f>($G$47-AD47)*1156/1000</f>
        <v>-2.739720000000005</v>
      </c>
      <c r="AF47" s="1835" t="s">
        <v>8</v>
      </c>
      <c r="AG47" s="1836">
        <f t="shared" si="9"/>
        <v>0</v>
      </c>
      <c r="AH47" s="2034" t="str">
        <f>IF('2. XL-1F TT(CA2)'!AB10="","",'2. XL-1F TT(CA2)'!AB10)</f>
        <v/>
      </c>
      <c r="AI47" s="1838" t="s">
        <v>9</v>
      </c>
      <c r="AJ47" s="2511">
        <f>XM.HN!F30</f>
        <v>13.2</v>
      </c>
      <c r="AK47" s="1922">
        <f>AJ47*4.62</f>
        <v>60.983999999999995</v>
      </c>
      <c r="AL47" s="2460">
        <f>($G$47-AK47)*1156/1000</f>
        <v>-1.1375039999999939</v>
      </c>
      <c r="AM47" s="1835" t="s">
        <v>8</v>
      </c>
      <c r="AN47" s="1836">
        <f t="shared" si="10"/>
        <v>0</v>
      </c>
      <c r="AO47" s="2034" t="str">
        <f>IF('2. XL-1F TT(CA2)'!AF10="","",'2. XL-1F TT(CA2)'!AF10)</f>
        <v/>
      </c>
      <c r="AP47" s="1838" t="s">
        <v>9</v>
      </c>
      <c r="AQ47" s="2511">
        <f>XM.HN!G30</f>
        <v>12.9</v>
      </c>
      <c r="AR47" s="1922">
        <f>AQ47*4.62</f>
        <v>59.598000000000006</v>
      </c>
      <c r="AS47" s="2460">
        <f>($G$47-AR47)*1156/1000</f>
        <v>0.46471199999999296</v>
      </c>
      <c r="AT47" s="1835" t="s">
        <v>8</v>
      </c>
      <c r="AU47" s="1836">
        <f t="shared" si="11"/>
        <v>0.46471199999999296</v>
      </c>
      <c r="AV47" s="2034" t="str">
        <f>IF('2. XL-1F TT(CA2)'!AJ10="","",'2. XL-1F TT(CA2)'!AJ10)</f>
        <v/>
      </c>
      <c r="AW47" s="1838" t="s">
        <v>9</v>
      </c>
      <c r="AY47" s="3345"/>
    </row>
    <row r="48" spans="1:53" ht="39.75" customHeight="1">
      <c r="A48" s="1850"/>
      <c r="B48" s="1851"/>
      <c r="C48" s="1864" t="s">
        <v>232</v>
      </c>
      <c r="D48" s="1853"/>
      <c r="E48" s="1854" t="s">
        <v>1473</v>
      </c>
      <c r="F48" s="1895"/>
      <c r="G48" s="2589"/>
      <c r="H48" s="2549"/>
      <c r="I48" s="1875"/>
      <c r="J48" s="2462"/>
      <c r="K48" s="1858" t="s">
        <v>8</v>
      </c>
      <c r="L48" s="1862">
        <f>L47/25*7</f>
        <v>1.5507508800000012</v>
      </c>
      <c r="M48" s="2036" t="str">
        <f>IF('2. XL-1F TT '!AB11="","",'2. XL-1F TT '!AB11)</f>
        <v/>
      </c>
      <c r="N48" s="1860" t="s">
        <v>10</v>
      </c>
      <c r="O48" s="2513"/>
      <c r="P48" s="1875"/>
      <c r="Q48" s="2462"/>
      <c r="R48" s="1858" t="s">
        <v>8</v>
      </c>
      <c r="S48" s="1862">
        <f>S47/25*7</f>
        <v>0</v>
      </c>
      <c r="T48" s="2036" t="str">
        <f>IF('2. XL-1F TT '!AF11="","",'2. XL-1F TT '!AF11)</f>
        <v/>
      </c>
      <c r="U48" s="1860" t="s">
        <v>10</v>
      </c>
      <c r="V48" s="2513"/>
      <c r="W48" s="1875"/>
      <c r="X48" s="2462"/>
      <c r="Y48" s="1858" t="s">
        <v>8</v>
      </c>
      <c r="Z48" s="1862">
        <f>Z47/25*7</f>
        <v>0</v>
      </c>
      <c r="AA48" s="2036" t="str">
        <f>IF('2. XL-1F TT '!AJ11="","",'2. XL-1F TT '!AJ11)</f>
        <v/>
      </c>
      <c r="AB48" s="1860" t="s">
        <v>10</v>
      </c>
      <c r="AC48" s="2513"/>
      <c r="AD48" s="1875"/>
      <c r="AE48" s="2462"/>
      <c r="AF48" s="1858" t="s">
        <v>8</v>
      </c>
      <c r="AG48" s="1862">
        <f>AG47/25*7</f>
        <v>0</v>
      </c>
      <c r="AH48" s="2036" t="str">
        <f>IF('2. XL-1F TT(CA2)'!AB11="","",'2. XL-1F TT(CA2)'!AB11)</f>
        <v/>
      </c>
      <c r="AI48" s="1860" t="s">
        <v>10</v>
      </c>
      <c r="AJ48" s="2513"/>
      <c r="AK48" s="1875"/>
      <c r="AL48" s="2462"/>
      <c r="AM48" s="1858" t="s">
        <v>8</v>
      </c>
      <c r="AN48" s="1862">
        <f>AN47/25*7</f>
        <v>0</v>
      </c>
      <c r="AO48" s="2036" t="str">
        <f>IF('2. XL-1F TT(CA2)'!AF11="","",'2. XL-1F TT(CA2)'!AF11)</f>
        <v/>
      </c>
      <c r="AP48" s="1860" t="s">
        <v>10</v>
      </c>
      <c r="AQ48" s="2513"/>
      <c r="AR48" s="1875"/>
      <c r="AS48" s="2462"/>
      <c r="AT48" s="1858" t="s">
        <v>8</v>
      </c>
      <c r="AU48" s="1862">
        <f>AU47/25*7</f>
        <v>0.13011935999999805</v>
      </c>
      <c r="AV48" s="2036" t="str">
        <f>IF('2. XL-1F TT(CA2)'!AJ11="","",'2. XL-1F TT(CA2)'!AJ11)</f>
        <v/>
      </c>
      <c r="AW48" s="1860" t="s">
        <v>10</v>
      </c>
      <c r="AY48" s="3346"/>
    </row>
    <row r="49" spans="1:55" ht="39.75" customHeight="1">
      <c r="A49" s="1827" t="s">
        <v>263</v>
      </c>
      <c r="B49" s="1828" t="s">
        <v>213</v>
      </c>
      <c r="C49" s="1865" t="s">
        <v>1474</v>
      </c>
      <c r="D49" s="1829" t="s">
        <v>4</v>
      </c>
      <c r="E49" s="1830" t="s">
        <v>1328</v>
      </c>
      <c r="F49" s="1894" t="s">
        <v>1514</v>
      </c>
      <c r="G49" s="2586">
        <v>60</v>
      </c>
      <c r="H49" s="2548">
        <f>XM.HN!B32</f>
        <v>12.7</v>
      </c>
      <c r="I49" s="1922">
        <f>H49*4.62</f>
        <v>58.673999999999999</v>
      </c>
      <c r="J49" s="2460">
        <f>($G$49-I49)*1459/1000</f>
        <v>1.9346340000000006</v>
      </c>
      <c r="K49" s="1835" t="s">
        <v>8</v>
      </c>
      <c r="L49" s="1836">
        <f t="shared" si="6"/>
        <v>1.9346340000000006</v>
      </c>
      <c r="M49" s="2034" t="str">
        <f>IF('2. XL-1F TT '!AB12="","",'2. XL-1F TT '!AB12)</f>
        <v>CÓ</v>
      </c>
      <c r="N49" s="1838" t="s">
        <v>9</v>
      </c>
      <c r="O49" s="2511">
        <f>XM.HN!C32</f>
        <v>13.55</v>
      </c>
      <c r="P49" s="1922">
        <f>O49*4.62</f>
        <v>62.601000000000006</v>
      </c>
      <c r="Q49" s="2460">
        <f>($G$49-P49)*1459/1000</f>
        <v>-3.7948590000000091</v>
      </c>
      <c r="R49" s="1835" t="s">
        <v>8</v>
      </c>
      <c r="S49" s="1836">
        <f t="shared" si="7"/>
        <v>0</v>
      </c>
      <c r="T49" s="2034" t="str">
        <f>IF('2. XL-1F TT '!AF12="","",'2. XL-1F TT '!AF12)</f>
        <v/>
      </c>
      <c r="U49" s="1838" t="s">
        <v>9</v>
      </c>
      <c r="V49" s="2511">
        <f>XM.HN!D32</f>
        <v>13.3</v>
      </c>
      <c r="W49" s="1922">
        <f>V49*4.62</f>
        <v>61.446000000000005</v>
      </c>
      <c r="X49" s="2460">
        <f>($G$49-W49)*1459/1000</f>
        <v>-2.1097140000000074</v>
      </c>
      <c r="Y49" s="1835" t="s">
        <v>8</v>
      </c>
      <c r="Z49" s="1836">
        <f t="shared" si="8"/>
        <v>0</v>
      </c>
      <c r="AA49" s="2034" t="str">
        <f>IF('2. XL-1F TT '!AJ12="","",'2. XL-1F TT '!AJ12)</f>
        <v/>
      </c>
      <c r="AB49" s="1838" t="s">
        <v>9</v>
      </c>
      <c r="AC49" s="2511">
        <f>XM.HN!E32</f>
        <v>12.5</v>
      </c>
      <c r="AD49" s="1922">
        <f>AC49*4.62</f>
        <v>57.75</v>
      </c>
      <c r="AE49" s="2460">
        <f>($G$49-AD49)*1459/1000</f>
        <v>3.2827500000000001</v>
      </c>
      <c r="AF49" s="1835" t="s">
        <v>8</v>
      </c>
      <c r="AG49" s="1836">
        <f t="shared" si="9"/>
        <v>3.2827500000000001</v>
      </c>
      <c r="AH49" s="2034" t="str">
        <f>IF('2. XL-1F TT(CA2)'!AB12="","",'2. XL-1F TT(CA2)'!AB12)</f>
        <v>có</v>
      </c>
      <c r="AI49" s="1838" t="s">
        <v>9</v>
      </c>
      <c r="AJ49" s="2511">
        <f>XM.HN!F32</f>
        <v>14.2</v>
      </c>
      <c r="AK49" s="1922">
        <f>AJ49*4.62</f>
        <v>65.603999999999999</v>
      </c>
      <c r="AL49" s="2460">
        <f>($G$49-AK49)*1459/1000</f>
        <v>-8.1762359999999994</v>
      </c>
      <c r="AM49" s="1835" t="s">
        <v>8</v>
      </c>
      <c r="AN49" s="1836">
        <f t="shared" si="10"/>
        <v>0</v>
      </c>
      <c r="AO49" s="2034" t="str">
        <f>IF('2. XL-1F TT(CA2)'!AF12="","",'2. XL-1F TT(CA2)'!AF12)</f>
        <v/>
      </c>
      <c r="AP49" s="1838" t="s">
        <v>9</v>
      </c>
      <c r="AQ49" s="2511">
        <f>XM.HN!G32</f>
        <v>14.7</v>
      </c>
      <c r="AR49" s="1922">
        <f>AQ49*4.62</f>
        <v>67.914000000000001</v>
      </c>
      <c r="AS49" s="2460">
        <f>($G$49-AR49)*1459/1000</f>
        <v>-11.546526000000002</v>
      </c>
      <c r="AT49" s="1835" t="s">
        <v>8</v>
      </c>
      <c r="AU49" s="1836">
        <f t="shared" si="11"/>
        <v>0</v>
      </c>
      <c r="AV49" s="2034" t="str">
        <f>IF('2. XL-1F TT(CA2)'!AJ12="","",'2. XL-1F TT(CA2)'!AJ12)</f>
        <v/>
      </c>
      <c r="AW49" s="1838" t="s">
        <v>9</v>
      </c>
      <c r="AY49" s="3345"/>
    </row>
    <row r="50" spans="1:55" ht="39.75" customHeight="1">
      <c r="A50" s="1850"/>
      <c r="B50" s="1851"/>
      <c r="C50" s="1864" t="s">
        <v>232</v>
      </c>
      <c r="D50" s="1853"/>
      <c r="E50" s="1854" t="s">
        <v>1473</v>
      </c>
      <c r="F50" s="1895"/>
      <c r="G50" s="2589"/>
      <c r="H50" s="2549"/>
      <c r="I50" s="1875"/>
      <c r="J50" s="2462"/>
      <c r="K50" s="1858" t="s">
        <v>8</v>
      </c>
      <c r="L50" s="1862">
        <f>L49/25*7</f>
        <v>0.54169752000000015</v>
      </c>
      <c r="M50" s="2036" t="str">
        <f>IF('2. XL-1F TT '!AB13="","",'2. XL-1F TT '!AB13)</f>
        <v/>
      </c>
      <c r="N50" s="1860" t="s">
        <v>10</v>
      </c>
      <c r="O50" s="2513"/>
      <c r="P50" s="1875"/>
      <c r="Q50" s="2462"/>
      <c r="R50" s="1858"/>
      <c r="S50" s="1862">
        <f>S49/25*7</f>
        <v>0</v>
      </c>
      <c r="T50" s="2036" t="str">
        <f>IF('2. XL-1F TT '!AF13="","",'2. XL-1F TT '!AF13)</f>
        <v/>
      </c>
      <c r="U50" s="1860" t="s">
        <v>10</v>
      </c>
      <c r="V50" s="2513"/>
      <c r="W50" s="1875"/>
      <c r="X50" s="2462"/>
      <c r="Y50" s="1858"/>
      <c r="Z50" s="1862">
        <f>Z49/25*7</f>
        <v>0</v>
      </c>
      <c r="AA50" s="2036" t="str">
        <f>IF('2. XL-1F TT '!AJ13="","",'2. XL-1F TT '!AJ13)</f>
        <v/>
      </c>
      <c r="AB50" s="1860" t="s">
        <v>10</v>
      </c>
      <c r="AC50" s="2513"/>
      <c r="AD50" s="1875"/>
      <c r="AE50" s="2462"/>
      <c r="AF50" s="1858"/>
      <c r="AG50" s="1862">
        <f>AG49/25*7</f>
        <v>0.91917000000000004</v>
      </c>
      <c r="AH50" s="2036" t="str">
        <f>IF('2. XL-1F TT(CA2)'!AB13="","",'2. XL-1F TT(CA2)'!AB13)</f>
        <v/>
      </c>
      <c r="AI50" s="1860" t="s">
        <v>10</v>
      </c>
      <c r="AJ50" s="2513"/>
      <c r="AK50" s="1875"/>
      <c r="AL50" s="2462"/>
      <c r="AM50" s="1858"/>
      <c r="AN50" s="1862">
        <f>AN49/25*7</f>
        <v>0</v>
      </c>
      <c r="AO50" s="2036" t="str">
        <f>IF('2. XL-1F TT(CA2)'!AF13="","",'2. XL-1F TT(CA2)'!AF13)</f>
        <v/>
      </c>
      <c r="AP50" s="1860" t="s">
        <v>10</v>
      </c>
      <c r="AQ50" s="2513"/>
      <c r="AR50" s="1875"/>
      <c r="AS50" s="2462"/>
      <c r="AT50" s="1858"/>
      <c r="AU50" s="1862">
        <f>AU49/25*7</f>
        <v>0</v>
      </c>
      <c r="AV50" s="2036" t="str">
        <f>IF('2. XL-1F TT(CA2)'!AJ13="","",'2. XL-1F TT(CA2)'!AJ13)</f>
        <v/>
      </c>
      <c r="AW50" s="1860" t="s">
        <v>10</v>
      </c>
      <c r="AY50" s="3346"/>
    </row>
    <row r="51" spans="1:55" ht="41.25" customHeight="1">
      <c r="A51" s="1711" t="s">
        <v>264</v>
      </c>
      <c r="B51" s="1031" t="s">
        <v>213</v>
      </c>
      <c r="C51" s="1029" t="s">
        <v>55</v>
      </c>
      <c r="D51" s="1035" t="s">
        <v>4</v>
      </c>
      <c r="E51" s="45" t="s">
        <v>1323</v>
      </c>
      <c r="F51" s="1886" t="s">
        <v>1509</v>
      </c>
      <c r="G51" s="2893">
        <v>140</v>
      </c>
      <c r="H51" s="2514">
        <f>XM.HN!B34</f>
        <v>18.100000000000001</v>
      </c>
      <c r="I51" s="1755">
        <f>H51*8</f>
        <v>144.80000000000001</v>
      </c>
      <c r="J51" s="2625">
        <f>($G$51-I51)*19951/1000</f>
        <v>-95.764800000000221</v>
      </c>
      <c r="K51" s="1756" t="s">
        <v>8</v>
      </c>
      <c r="L51" s="1757">
        <f t="shared" si="6"/>
        <v>0</v>
      </c>
      <c r="M51" s="2037" t="str">
        <f>IF('2. XL-1F TT '!AB14="","",'2. XL-1F TT '!AB14)</f>
        <v/>
      </c>
      <c r="N51" s="1760" t="s">
        <v>9</v>
      </c>
      <c r="O51" s="2632">
        <f>XM.HN!C34</f>
        <v>18.100000000000001</v>
      </c>
      <c r="P51" s="1726">
        <f>O51*8</f>
        <v>144.80000000000001</v>
      </c>
      <c r="Q51" s="2625">
        <f>($G$51-P51)*19951/1000</f>
        <v>-95.764800000000221</v>
      </c>
      <c r="R51" s="1756" t="s">
        <v>8</v>
      </c>
      <c r="S51" s="1757">
        <f t="shared" si="7"/>
        <v>0</v>
      </c>
      <c r="T51" s="2037" t="str">
        <f>IF('2. XL-1F TT '!AF14="","",'2. XL-1F TT '!AF14)</f>
        <v/>
      </c>
      <c r="U51" s="1760" t="s">
        <v>9</v>
      </c>
      <c r="V51" s="2632">
        <f>XM.HN!D34</f>
        <v>17.899999999999999</v>
      </c>
      <c r="W51" s="1755">
        <f>V51*8</f>
        <v>143.19999999999999</v>
      </c>
      <c r="X51" s="2625">
        <f>($G$51-W51)*19951/1000</f>
        <v>-63.843199999999769</v>
      </c>
      <c r="Y51" s="1756" t="s">
        <v>8</v>
      </c>
      <c r="Z51" s="1757">
        <f t="shared" si="8"/>
        <v>0</v>
      </c>
      <c r="AA51" s="2037" t="str">
        <f>IF('2. XL-1F TT '!AJ14="","",'2. XL-1F TT '!AJ14)</f>
        <v/>
      </c>
      <c r="AB51" s="1760" t="s">
        <v>9</v>
      </c>
      <c r="AC51" s="2632">
        <f>XM.HN!E34</f>
        <v>17.899999999999999</v>
      </c>
      <c r="AD51" s="1755">
        <f>AC51*8</f>
        <v>143.19999999999999</v>
      </c>
      <c r="AE51" s="2625">
        <f>($G$51-AD51)*19951/1000</f>
        <v>-63.843199999999769</v>
      </c>
      <c r="AF51" s="1756" t="s">
        <v>8</v>
      </c>
      <c r="AG51" s="1757">
        <f t="shared" si="9"/>
        <v>0</v>
      </c>
      <c r="AH51" s="2037" t="str">
        <f>IF('2. XL-1F TT(CA2)'!AB14="","",'2. XL-1F TT(CA2)'!AB14)</f>
        <v/>
      </c>
      <c r="AI51" s="1760" t="s">
        <v>9</v>
      </c>
      <c r="AJ51" s="2632">
        <f>XM.HN!F34</f>
        <v>18</v>
      </c>
      <c r="AK51" s="1755">
        <f>AJ51*8</f>
        <v>144</v>
      </c>
      <c r="AL51" s="2625">
        <f>($G$51-AK51)*19951/1000</f>
        <v>-79.804000000000002</v>
      </c>
      <c r="AM51" s="1756" t="s">
        <v>8</v>
      </c>
      <c r="AN51" s="1757">
        <f t="shared" si="10"/>
        <v>0</v>
      </c>
      <c r="AO51" s="2037" t="str">
        <f>IF('2. XL-1F TT(CA2)'!AF14="","",'2. XL-1F TT(CA2)'!AF14)</f>
        <v/>
      </c>
      <c r="AP51" s="1760" t="s">
        <v>9</v>
      </c>
      <c r="AQ51" s="2632">
        <f>XM.HN!G34</f>
        <v>18</v>
      </c>
      <c r="AR51" s="1755">
        <f>AQ51*8</f>
        <v>144</v>
      </c>
      <c r="AS51" s="2463">
        <f>($G$51-AR51)*19951/1000</f>
        <v>-79.804000000000002</v>
      </c>
      <c r="AT51" s="1728" t="s">
        <v>8</v>
      </c>
      <c r="AU51" s="1757">
        <f t="shared" si="11"/>
        <v>0</v>
      </c>
      <c r="AV51" s="2037" t="str">
        <f>IF('2. XL-1F TT(CA2)'!AJ14="","",'2. XL-1F TT(CA2)'!AJ14)</f>
        <v/>
      </c>
      <c r="AW51" s="1730" t="s">
        <v>9</v>
      </c>
      <c r="AY51" s="2158"/>
    </row>
    <row r="52" spans="1:55" ht="41.25" customHeight="1">
      <c r="A52" s="1041" t="s">
        <v>265</v>
      </c>
      <c r="B52" s="1031" t="s">
        <v>213</v>
      </c>
      <c r="C52" s="1014" t="s">
        <v>56</v>
      </c>
      <c r="D52" s="1035" t="s">
        <v>4</v>
      </c>
      <c r="E52" s="1609" t="s">
        <v>1340</v>
      </c>
      <c r="F52" s="1887" t="s">
        <v>1508</v>
      </c>
      <c r="G52" s="2590">
        <v>10</v>
      </c>
      <c r="H52" s="2514">
        <f>XM.HN!B35</f>
        <v>7.7</v>
      </c>
      <c r="I52" s="1731">
        <f>H52*1.3</f>
        <v>10.01</v>
      </c>
      <c r="J52" s="2476">
        <f>($G$52-I52)*19951/1000</f>
        <v>-0.19950999999999575</v>
      </c>
      <c r="K52" s="1728" t="s">
        <v>8</v>
      </c>
      <c r="L52" s="1757">
        <f t="shared" si="6"/>
        <v>0</v>
      </c>
      <c r="M52" s="2037" t="str">
        <f>IF('2. XL-1F TT '!AB15="","",'2. XL-1F TT '!AB15)</f>
        <v/>
      </c>
      <c r="N52" s="1730" t="s">
        <v>9</v>
      </c>
      <c r="O52" s="2510">
        <f>XM.HN!C35</f>
        <v>7.5</v>
      </c>
      <c r="P52" s="1731">
        <f>O52*1.3</f>
        <v>9.75</v>
      </c>
      <c r="Q52" s="2476">
        <f>($G$52-P52)*19951/1000</f>
        <v>4.9877500000000001</v>
      </c>
      <c r="R52" s="1728" t="s">
        <v>8</v>
      </c>
      <c r="S52" s="1757">
        <f t="shared" si="7"/>
        <v>4.9877500000000001</v>
      </c>
      <c r="T52" s="2037" t="str">
        <f>IF('2. XL-1F TT '!AF15="","",'2. XL-1F TT '!AF15)</f>
        <v/>
      </c>
      <c r="U52" s="1730" t="s">
        <v>9</v>
      </c>
      <c r="V52" s="2542">
        <f>XM.HN!D35</f>
        <v>7.5</v>
      </c>
      <c r="W52" s="1731">
        <f>V52*1.3</f>
        <v>9.75</v>
      </c>
      <c r="X52" s="2476">
        <f>($G$52-W52)*19951/1000</f>
        <v>4.9877500000000001</v>
      </c>
      <c r="Y52" s="1728" t="s">
        <v>8</v>
      </c>
      <c r="Z52" s="1757">
        <f t="shared" si="8"/>
        <v>4.9877500000000001</v>
      </c>
      <c r="AA52" s="2037" t="str">
        <f>IF('2. XL-1F TT '!AJ15="","",'2. XL-1F TT '!AJ15)</f>
        <v/>
      </c>
      <c r="AB52" s="1730" t="s">
        <v>9</v>
      </c>
      <c r="AC52" s="2510">
        <f>XM.HN!E35</f>
        <v>7.6</v>
      </c>
      <c r="AD52" s="1731">
        <f>AC52*1.3</f>
        <v>9.879999999999999</v>
      </c>
      <c r="AE52" s="2476">
        <f>($G$52-AD52)*19951/1000</f>
        <v>2.39412000000002</v>
      </c>
      <c r="AF52" s="1728" t="s">
        <v>8</v>
      </c>
      <c r="AG52" s="1757">
        <f t="shared" si="9"/>
        <v>2.39412000000002</v>
      </c>
      <c r="AH52" s="2037" t="str">
        <f>IF('2. XL-1F TT(CA2)'!AB15="","",'2. XL-1F TT(CA2)'!AB15)</f>
        <v/>
      </c>
      <c r="AI52" s="1730" t="s">
        <v>9</v>
      </c>
      <c r="AJ52" s="2510">
        <f>XM.HN!F35</f>
        <v>7.6</v>
      </c>
      <c r="AK52" s="1731">
        <f>AJ52*1.3</f>
        <v>9.879999999999999</v>
      </c>
      <c r="AL52" s="2476">
        <f>($G$52-AK52)*19951/1000</f>
        <v>2.39412000000002</v>
      </c>
      <c r="AM52" s="1728" t="s">
        <v>8</v>
      </c>
      <c r="AN52" s="1757">
        <f t="shared" si="10"/>
        <v>2.39412000000002</v>
      </c>
      <c r="AO52" s="2037" t="str">
        <f>IF('2. XL-1F TT(CA2)'!AF15="","",'2. XL-1F TT(CA2)'!AF15)</f>
        <v/>
      </c>
      <c r="AP52" s="1730" t="s">
        <v>9</v>
      </c>
      <c r="AQ52" s="2510">
        <f>XM.HN!G35</f>
        <v>7.7</v>
      </c>
      <c r="AR52" s="1731">
        <f>AQ52*1.3</f>
        <v>10.01</v>
      </c>
      <c r="AS52" s="2624">
        <f>($G$52-AR52)*19951/1000</f>
        <v>-0.19950999999999575</v>
      </c>
      <c r="AT52" s="1728" t="s">
        <v>8</v>
      </c>
      <c r="AU52" s="1757">
        <f t="shared" si="11"/>
        <v>0</v>
      </c>
      <c r="AV52" s="2037" t="str">
        <f>IF('2. XL-1F TT(CA2)'!AJ15="","",'2. XL-1F TT(CA2)'!AJ15)</f>
        <v/>
      </c>
      <c r="AW52" s="1730" t="s">
        <v>9</v>
      </c>
      <c r="AY52" s="2158"/>
    </row>
    <row r="53" spans="1:55" ht="41.25" customHeight="1">
      <c r="A53" s="1712" t="s">
        <v>266</v>
      </c>
      <c r="B53" s="1031" t="s">
        <v>213</v>
      </c>
      <c r="C53" s="1044" t="s">
        <v>1012</v>
      </c>
      <c r="D53" s="1035" t="s">
        <v>3</v>
      </c>
      <c r="E53" s="45" t="s">
        <v>1329</v>
      </c>
      <c r="F53" s="1896" t="s">
        <v>1498</v>
      </c>
      <c r="G53" s="2590">
        <v>7</v>
      </c>
      <c r="H53" s="2514">
        <f>XM.HN!B36</f>
        <v>19.5</v>
      </c>
      <c r="I53" s="1731">
        <f>(H53*0.4237)-1.0461</f>
        <v>7.2160500000000001</v>
      </c>
      <c r="J53" s="2476">
        <f>($G$53-I53)*575/100</f>
        <v>-1.2422875000000004</v>
      </c>
      <c r="K53" s="1728" t="s">
        <v>8</v>
      </c>
      <c r="L53" s="1757">
        <f>IF(I53=-1.0461,0,IF(J53&lt;0,0,J53))</f>
        <v>0</v>
      </c>
      <c r="M53" s="2037" t="str">
        <f>IF('2. XL-1F TT '!AB16="","",'2. XL-1F TT '!AB16)</f>
        <v/>
      </c>
      <c r="N53" s="1732" t="s">
        <v>10</v>
      </c>
      <c r="O53" s="2510">
        <f>XM.HN!C36</f>
        <v>19.3</v>
      </c>
      <c r="P53" s="1731">
        <f>(O53*0.4237)-1.0461</f>
        <v>7.13131</v>
      </c>
      <c r="Q53" s="2476">
        <f>($G$53-P53)*575/100</f>
        <v>-0.75503250000000022</v>
      </c>
      <c r="R53" s="1728" t="s">
        <v>8</v>
      </c>
      <c r="S53" s="1757">
        <f>IF(P53=-1.0461,0,IF(Q53&lt;0,0,Q53))</f>
        <v>0</v>
      </c>
      <c r="T53" s="2037" t="str">
        <f>IF('2. XL-1F TT '!AF16="","",'2. XL-1F TT '!AF16)</f>
        <v/>
      </c>
      <c r="U53" s="1732" t="s">
        <v>10</v>
      </c>
      <c r="V53" s="2065">
        <f>XM.HN!D36</f>
        <v>19.5</v>
      </c>
      <c r="W53" s="1731">
        <f>(V53*0.4237)-1.0461</f>
        <v>7.2160500000000001</v>
      </c>
      <c r="X53" s="2476">
        <f>($G$53-W53)*575/100</f>
        <v>-1.2422875000000004</v>
      </c>
      <c r="Y53" s="1728" t="s">
        <v>8</v>
      </c>
      <c r="Z53" s="1757">
        <f>IF(W53=-1.0461,0,IF(X53&lt;0,0,X53))</f>
        <v>0</v>
      </c>
      <c r="AA53" s="2037" t="str">
        <f>IF('2. XL-1F TT '!AJ16="","",'2. XL-1F TT '!AJ16)</f>
        <v/>
      </c>
      <c r="AB53" s="1732" t="s">
        <v>10</v>
      </c>
      <c r="AC53" s="2065">
        <f>XM.HN!E36</f>
        <v>19.399999999999999</v>
      </c>
      <c r="AD53" s="1731">
        <f>(AC53*0.4237)-1.0461</f>
        <v>7.1736800000000001</v>
      </c>
      <c r="AE53" s="2476">
        <f>($G$53-AD53)*575/100</f>
        <v>-0.99866000000000033</v>
      </c>
      <c r="AF53" s="1728" t="s">
        <v>8</v>
      </c>
      <c r="AG53" s="1757">
        <f>IF(AD53=-1.0461,0,IF(AE53&lt;0,0,AE53))</f>
        <v>0</v>
      </c>
      <c r="AH53" s="2037" t="str">
        <f>IF('2. XL-1F TT(CA2)'!AB16="","",'2. XL-1F TT(CA2)'!AB16)</f>
        <v/>
      </c>
      <c r="AI53" s="1732" t="s">
        <v>10</v>
      </c>
      <c r="AJ53" s="2065">
        <f>XM.HN!F36</f>
        <v>19</v>
      </c>
      <c r="AK53" s="1731">
        <f>(AJ53*0.4237)-1.0461</f>
        <v>7.0042</v>
      </c>
      <c r="AL53" s="2476">
        <f>($G$53-AK53)*575/100</f>
        <v>-2.4149999999999894E-2</v>
      </c>
      <c r="AM53" s="1728" t="s">
        <v>8</v>
      </c>
      <c r="AN53" s="1757">
        <f>IF(AK53=-1.0461,0,IF(AL53&lt;0,0,AL53))</f>
        <v>0</v>
      </c>
      <c r="AO53" s="2037" t="str">
        <f>IF('2. XL-1F TT(CA2)'!AF16="","",'2. XL-1F TT(CA2)'!AF16)</f>
        <v/>
      </c>
      <c r="AP53" s="1732" t="s">
        <v>10</v>
      </c>
      <c r="AQ53" s="2065">
        <f>XM.HN!G36</f>
        <v>17.8</v>
      </c>
      <c r="AR53" s="1731">
        <f>(AQ53*0.4237)-1.0461</f>
        <v>6.4957600000000006</v>
      </c>
      <c r="AS53" s="2624">
        <f>($G$53-AR53)*575/100</f>
        <v>2.8993799999999963</v>
      </c>
      <c r="AT53" s="1728" t="s">
        <v>8</v>
      </c>
      <c r="AU53" s="1757">
        <f>IF(AR53=-1.0461,0,IF(AS53&lt;0,0,AS53))</f>
        <v>2.8993799999999963</v>
      </c>
      <c r="AV53" s="2037" t="str">
        <f>IF('2. XL-1F TT(CA2)'!AJ16="","",'2. XL-1F TT(CA2)'!AJ16)</f>
        <v/>
      </c>
      <c r="AW53" s="1730" t="s">
        <v>10</v>
      </c>
      <c r="AY53" s="2158"/>
    </row>
    <row r="54" spans="1:55" ht="41.25" customHeight="1">
      <c r="A54" s="1712" t="s">
        <v>267</v>
      </c>
      <c r="B54" s="1031" t="s">
        <v>213</v>
      </c>
      <c r="C54" s="2269" t="str">
        <f>MENU!Z44</f>
        <v>Pha mới: 2024/07/28</v>
      </c>
      <c r="D54" s="1035" t="s">
        <v>5</v>
      </c>
      <c r="E54" s="45" t="s">
        <v>1299</v>
      </c>
      <c r="F54" s="1896" t="s">
        <v>1291</v>
      </c>
      <c r="G54" s="2591"/>
      <c r="H54" s="2514"/>
      <c r="I54" s="1731">
        <f>XM.HN!B44</f>
        <v>2.23</v>
      </c>
      <c r="J54" s="2476"/>
      <c r="K54" s="1734"/>
      <c r="L54" s="1757"/>
      <c r="M54" s="2037" t="str">
        <f>IF('2. XL-1F TT '!AB17="","",'2. XL-1F TT '!AB17)</f>
        <v/>
      </c>
      <c r="N54" s="1735"/>
      <c r="O54" s="2510"/>
      <c r="P54" s="1731">
        <f>XM.HN!C44</f>
        <v>2.2400000000000002</v>
      </c>
      <c r="Q54" s="2483"/>
      <c r="R54" s="1742"/>
      <c r="S54" s="1757"/>
      <c r="T54" s="2037" t="str">
        <f>IF('2. XL-1F TT '!AF17="","",'2. XL-1F TT '!AF17)</f>
        <v/>
      </c>
      <c r="U54" s="1743"/>
      <c r="W54" s="1731">
        <f>XM.HN!D44</f>
        <v>2.35</v>
      </c>
      <c r="X54" s="2483"/>
      <c r="Y54" s="1742"/>
      <c r="Z54" s="1757"/>
      <c r="AA54" s="2037" t="str">
        <f>IF('2. XL-1F TT '!AJ17="","",'2. XL-1F TT '!AJ17)</f>
        <v/>
      </c>
      <c r="AB54" s="1743"/>
      <c r="AD54" s="1731">
        <f>XM.HN!E44</f>
        <v>2.4</v>
      </c>
      <c r="AE54" s="2483"/>
      <c r="AF54" s="1742"/>
      <c r="AG54" s="1757"/>
      <c r="AH54" s="2037" t="str">
        <f>IF('2. XL-1F TT(CA2)'!AB17="","",'2. XL-1F TT(CA2)'!AB17)</f>
        <v/>
      </c>
      <c r="AI54" s="1743"/>
      <c r="AK54" s="1731">
        <f>XM.HN!F44</f>
        <v>2.35</v>
      </c>
      <c r="AL54" s="2483"/>
      <c r="AM54" s="1742"/>
      <c r="AN54" s="1757"/>
      <c r="AO54" s="2037" t="str">
        <f>IF('2. XL-1F TT(CA2)'!AF17="","",'2. XL-1F TT(CA2)'!AF17)</f>
        <v/>
      </c>
      <c r="AP54" s="1743"/>
      <c r="AR54" s="1731">
        <f>XM.HN!G44</f>
        <v>2.4</v>
      </c>
      <c r="AS54" s="2626"/>
      <c r="AT54" s="1734"/>
      <c r="AU54" s="1757"/>
      <c r="AV54" s="2037" t="str">
        <f>IF('2. XL-1F TT(CA2)'!AJ17="","",'2. XL-1F TT(CA2)'!AJ17)</f>
        <v/>
      </c>
      <c r="AW54" s="1771"/>
      <c r="AY54" s="2158"/>
    </row>
    <row r="55" spans="1:55" ht="41.25" customHeight="1">
      <c r="A55" s="1713" t="s">
        <v>268</v>
      </c>
      <c r="B55" s="1031" t="s">
        <v>213</v>
      </c>
      <c r="C55" s="1029" t="s">
        <v>57</v>
      </c>
      <c r="D55" s="1035" t="s">
        <v>6</v>
      </c>
      <c r="E55" s="13" t="s">
        <v>1523</v>
      </c>
      <c r="F55" s="1896" t="s">
        <v>1312</v>
      </c>
      <c r="G55" s="2592">
        <v>0.45</v>
      </c>
      <c r="H55" s="2514">
        <f>XM.HN!B38</f>
        <v>4.0999999999999996</v>
      </c>
      <c r="I55" s="1747">
        <f>(1*H55*36.5)/(1*10)/32%/100</f>
        <v>0.46765624999999994</v>
      </c>
      <c r="J55" s="2627">
        <f>($G$55-I55)*2122</f>
        <v>-37.466562499999853</v>
      </c>
      <c r="K55" s="1766" t="s">
        <v>8</v>
      </c>
      <c r="L55" s="1757">
        <f t="shared" si="6"/>
        <v>0</v>
      </c>
      <c r="M55" s="2037" t="str">
        <f>IF('2. XL-1F TT '!AB18="","",'2. XL-1F TT '!AB18)</f>
        <v/>
      </c>
      <c r="N55" s="1758" t="s">
        <v>10</v>
      </c>
      <c r="O55" s="2634">
        <f>XM.HN!C38</f>
        <v>4.2</v>
      </c>
      <c r="P55" s="1747">
        <f>(1*O55*36.5)/(1*10)/32%/100</f>
        <v>0.47906250000000006</v>
      </c>
      <c r="Q55" s="2627">
        <f>($G$55-P55)*2122</f>
        <v>-61.670625000000101</v>
      </c>
      <c r="R55" s="1766" t="s">
        <v>8</v>
      </c>
      <c r="S55" s="1757">
        <f t="shared" si="7"/>
        <v>0</v>
      </c>
      <c r="T55" s="2037" t="str">
        <f>IF('2. XL-1F TT '!AF18="","",'2. XL-1F TT '!AF18)</f>
        <v/>
      </c>
      <c r="U55" s="1758" t="s">
        <v>10</v>
      </c>
      <c r="V55" s="2634">
        <f>XM.HN!D38</f>
        <v>4</v>
      </c>
      <c r="W55" s="1747">
        <f>(1*V55*36.5)/(1*10)/32%/100</f>
        <v>0.45624999999999999</v>
      </c>
      <c r="X55" s="2627">
        <f>($G$55-W55)*2122</f>
        <v>-13.262499999999953</v>
      </c>
      <c r="Y55" s="1766" t="s">
        <v>8</v>
      </c>
      <c r="Z55" s="1757">
        <f t="shared" si="8"/>
        <v>0</v>
      </c>
      <c r="AA55" s="2037" t="str">
        <f>IF('2. XL-1F TT '!AJ18="","",'2. XL-1F TT '!AJ18)</f>
        <v/>
      </c>
      <c r="AB55" s="1758" t="s">
        <v>10</v>
      </c>
      <c r="AC55" s="2634">
        <f>XM.HN!E38</f>
        <v>4</v>
      </c>
      <c r="AD55" s="1747">
        <f>(1*AC55*36.5)/(1*10)/32%/100</f>
        <v>0.45624999999999999</v>
      </c>
      <c r="AE55" s="2627">
        <f>($G$55-AD55)*2122</f>
        <v>-13.262499999999953</v>
      </c>
      <c r="AF55" s="1766" t="s">
        <v>8</v>
      </c>
      <c r="AG55" s="1757">
        <f t="shared" si="9"/>
        <v>0</v>
      </c>
      <c r="AH55" s="2037" t="str">
        <f>IF('2. XL-1F TT(CA2)'!AB18="","",'2. XL-1F TT(CA2)'!AB18)</f>
        <v/>
      </c>
      <c r="AI55" s="1758" t="s">
        <v>10</v>
      </c>
      <c r="AJ55" s="2632">
        <f>XM.HN!F38</f>
        <v>3.9</v>
      </c>
      <c r="AK55" s="1747">
        <f>(1*AJ55*36.5)/(1*10)/32%/100</f>
        <v>0.44484374999999998</v>
      </c>
      <c r="AL55" s="2627">
        <f>($G$55-AK55)*2122</f>
        <v>10.941562500000062</v>
      </c>
      <c r="AM55" s="1766" t="s">
        <v>8</v>
      </c>
      <c r="AN55" s="1757">
        <f t="shared" si="10"/>
        <v>10.941562500000062</v>
      </c>
      <c r="AO55" s="2037" t="str">
        <f>IF('2. XL-1F TT(CA2)'!AF18="","",'2. XL-1F TT(CA2)'!AF18)</f>
        <v/>
      </c>
      <c r="AP55" s="1758" t="s">
        <v>10</v>
      </c>
      <c r="AQ55" s="2632">
        <f>XM.HN!G38</f>
        <v>4.0999999999999996</v>
      </c>
      <c r="AR55" s="1747">
        <f>(1*AQ55*36.5)/(1*10)/32%/100</f>
        <v>0.46765624999999994</v>
      </c>
      <c r="AS55" s="2465">
        <f>($G$55-AR55)*2122</f>
        <v>-37.466562499999853</v>
      </c>
      <c r="AT55" s="1738" t="s">
        <v>8</v>
      </c>
      <c r="AU55" s="1757">
        <f t="shared" si="11"/>
        <v>0</v>
      </c>
      <c r="AV55" s="2037" t="str">
        <f>IF('2. XL-1F TT(CA2)'!AJ18="","",'2. XL-1F TT(CA2)'!AJ18)</f>
        <v/>
      </c>
      <c r="AW55" s="1740" t="s">
        <v>10</v>
      </c>
      <c r="AY55" s="2158"/>
    </row>
    <row r="56" spans="1:55" ht="41.25" hidden="1" customHeight="1">
      <c r="A56" s="1713" t="s">
        <v>269</v>
      </c>
      <c r="B56" s="1031" t="s">
        <v>213</v>
      </c>
      <c r="C56" s="1029" t="s">
        <v>58</v>
      </c>
      <c r="D56" s="1035" t="s">
        <v>6</v>
      </c>
      <c r="E56" s="1330" t="s">
        <v>1524</v>
      </c>
      <c r="F56" s="2181" t="s">
        <v>1320</v>
      </c>
      <c r="G56" s="2592">
        <v>0.22</v>
      </c>
      <c r="H56" s="2514">
        <f>XM.HN!B39</f>
        <v>0</v>
      </c>
      <c r="I56" s="1736">
        <f>(1*H56*36.5)/(1*10)/32%/100</f>
        <v>0</v>
      </c>
      <c r="J56" s="2465">
        <f>($G$56-I56)*612</f>
        <v>134.64000000000001</v>
      </c>
      <c r="K56" s="1738" t="s">
        <v>8</v>
      </c>
      <c r="L56" s="1757">
        <f t="shared" si="6"/>
        <v>0</v>
      </c>
      <c r="M56" s="2037" t="str">
        <f>IF('2. XL-1F TT '!AB19="","",'2. XL-1F TT '!AB19)</f>
        <v/>
      </c>
      <c r="N56" s="1744" t="s">
        <v>10</v>
      </c>
      <c r="O56" s="2515">
        <f>XM.HN!C39</f>
        <v>0</v>
      </c>
      <c r="P56" s="1736">
        <f>(1*O56*36.5)/(1*10)/32%/100</f>
        <v>0</v>
      </c>
      <c r="Q56" s="2465">
        <f>($G$56-P56)*612</f>
        <v>134.64000000000001</v>
      </c>
      <c r="R56" s="1738" t="s">
        <v>8</v>
      </c>
      <c r="S56" s="1757">
        <f t="shared" si="7"/>
        <v>0</v>
      </c>
      <c r="T56" s="2037" t="str">
        <f>IF('2. XL-1F TT '!AF19="","",'2. XL-1F TT '!AF19)</f>
        <v/>
      </c>
      <c r="U56" s="1744" t="s">
        <v>10</v>
      </c>
      <c r="V56" s="2514">
        <f>XM.HN!D39</f>
        <v>0</v>
      </c>
      <c r="W56" s="1736">
        <f>(1*V56*36.5)/(1*10)/32%/100</f>
        <v>0</v>
      </c>
      <c r="X56" s="2465">
        <f>($G$56-W56)*612</f>
        <v>134.64000000000001</v>
      </c>
      <c r="Y56" s="1738" t="s">
        <v>8</v>
      </c>
      <c r="Z56" s="1757">
        <f t="shared" si="8"/>
        <v>0</v>
      </c>
      <c r="AA56" s="2037" t="str">
        <f>IF('2. XL-1F TT '!AJ19="","",'2. XL-1F TT '!AJ19)</f>
        <v/>
      </c>
      <c r="AB56" s="1744" t="s">
        <v>10</v>
      </c>
      <c r="AC56" s="2514">
        <f>XM.HN!E39</f>
        <v>0</v>
      </c>
      <c r="AD56" s="1736">
        <f>(1*AC56*36.5)/(1*10)/32%/100</f>
        <v>0</v>
      </c>
      <c r="AE56" s="2465">
        <f>($G$56-AD56)*612</f>
        <v>134.64000000000001</v>
      </c>
      <c r="AF56" s="1738" t="s">
        <v>8</v>
      </c>
      <c r="AG56" s="1757">
        <f t="shared" si="9"/>
        <v>0</v>
      </c>
      <c r="AH56" s="2037" t="str">
        <f>IF('2. XL-1F TT(CA2)'!AB19="","",'2. XL-1F TT(CA2)'!AB19)</f>
        <v/>
      </c>
      <c r="AI56" s="1744" t="s">
        <v>10</v>
      </c>
      <c r="AJ56" s="2514">
        <f>XM.HN!F39</f>
        <v>0</v>
      </c>
      <c r="AK56" s="1736">
        <f>(1*AJ56*36.5)/(1*10)/32%/100</f>
        <v>0</v>
      </c>
      <c r="AL56" s="2465">
        <f>($G$56-AK56)*612</f>
        <v>134.64000000000001</v>
      </c>
      <c r="AM56" s="1738" t="s">
        <v>8</v>
      </c>
      <c r="AN56" s="1757">
        <f t="shared" si="10"/>
        <v>0</v>
      </c>
      <c r="AO56" s="2037" t="str">
        <f>IF('2. XL-1F TT(CA2)'!AF19="","",'2. XL-1F TT(CA2)'!AF19)</f>
        <v/>
      </c>
      <c r="AP56" s="1744" t="s">
        <v>10</v>
      </c>
      <c r="AQ56" s="2514">
        <f>XM.HN!G39</f>
        <v>0</v>
      </c>
      <c r="AR56" s="1736">
        <f>(1*AQ56*36.5)/(1*10)/32%/100</f>
        <v>0</v>
      </c>
      <c r="AS56" s="2465">
        <f>($G$56-AR56)*612</f>
        <v>134.64000000000001</v>
      </c>
      <c r="AT56" s="1738" t="s">
        <v>8</v>
      </c>
      <c r="AU56" s="1757">
        <f t="shared" si="11"/>
        <v>0</v>
      </c>
      <c r="AV56" s="2037" t="str">
        <f>IF('2. XL-1F TT(CA2)'!AJ19="","",'2. XL-1F TT(CA2)'!AJ19)</f>
        <v/>
      </c>
      <c r="AW56" s="1740" t="s">
        <v>10</v>
      </c>
      <c r="AY56" s="2158"/>
    </row>
    <row r="57" spans="1:55" ht="35.25" customHeight="1">
      <c r="A57" s="1713" t="s">
        <v>270</v>
      </c>
      <c r="B57" s="1031" t="s">
        <v>213</v>
      </c>
      <c r="C57" s="1029" t="s">
        <v>59</v>
      </c>
      <c r="D57" s="1035" t="s">
        <v>6</v>
      </c>
      <c r="E57" s="1330" t="s">
        <v>1325</v>
      </c>
      <c r="F57" s="2139" t="s">
        <v>1317</v>
      </c>
      <c r="G57" s="2901">
        <v>0.1</v>
      </c>
      <c r="H57" s="2514">
        <f>XM.HN!B40</f>
        <v>3.5</v>
      </c>
      <c r="I57" s="1736">
        <f>(1*H57*36.5)/(5*10)/32%/100</f>
        <v>7.9843750000000005E-2</v>
      </c>
      <c r="J57" s="2465">
        <f>($G$57-I57)*575</f>
        <v>11.58984375</v>
      </c>
      <c r="K57" s="1738" t="s">
        <v>8</v>
      </c>
      <c r="L57" s="1757">
        <f t="shared" si="6"/>
        <v>11.58984375</v>
      </c>
      <c r="M57" s="2037" t="str">
        <f>IF('2. XL-1F TT '!AB20="","",'2. XL-1F TT '!AB20)</f>
        <v/>
      </c>
      <c r="N57" s="1740" t="s">
        <v>10</v>
      </c>
      <c r="O57" s="2517">
        <f>XM.HN!C40</f>
        <v>3.6</v>
      </c>
      <c r="P57" s="1736">
        <f>(1*O57*36.5)/(5*10)/32%/100</f>
        <v>8.2125000000000004E-2</v>
      </c>
      <c r="Q57" s="2465">
        <f>($G$57-P57)*575</f>
        <v>10.278125000000001</v>
      </c>
      <c r="R57" s="1738" t="s">
        <v>8</v>
      </c>
      <c r="S57" s="1757">
        <f t="shared" si="7"/>
        <v>10.278125000000001</v>
      </c>
      <c r="T57" s="2037" t="str">
        <f>IF('2. XL-1F TT '!AF20="","",'2. XL-1F TT '!AF20)</f>
        <v/>
      </c>
      <c r="U57" s="1740" t="s">
        <v>10</v>
      </c>
      <c r="V57" s="2517">
        <f>XM.HN!D40</f>
        <v>3.85</v>
      </c>
      <c r="W57" s="1736">
        <f>(1*V57*36.5)/(5*10)/32%/100</f>
        <v>8.7828125000000007E-2</v>
      </c>
      <c r="X57" s="2465">
        <f>($G$57-W57)*575</f>
        <v>6.9988281249999993</v>
      </c>
      <c r="Y57" s="1738" t="s">
        <v>8</v>
      </c>
      <c r="Z57" s="1757">
        <f t="shared" si="8"/>
        <v>6.9988281249999993</v>
      </c>
      <c r="AA57" s="2037" t="str">
        <f>IF('2. XL-1F TT '!AJ20="","",'2. XL-1F TT '!AJ20)</f>
        <v/>
      </c>
      <c r="AB57" s="1740" t="s">
        <v>10</v>
      </c>
      <c r="AC57" s="2517">
        <f>XM.HN!E40</f>
        <v>3</v>
      </c>
      <c r="AD57" s="1736">
        <f>(1*AC57*36.5)/(5*10)/32%/100</f>
        <v>6.8437499999999998E-2</v>
      </c>
      <c r="AE57" s="2465">
        <f>($G$57-AD57)*575</f>
        <v>18.148437500000004</v>
      </c>
      <c r="AF57" s="1738" t="s">
        <v>8</v>
      </c>
      <c r="AG57" s="1757">
        <f t="shared" si="9"/>
        <v>18.148437500000004</v>
      </c>
      <c r="AH57" s="2037" t="str">
        <f>IF('2. XL-1F TT(CA2)'!AB20="","",'2. XL-1F TT(CA2)'!AB20)</f>
        <v/>
      </c>
      <c r="AI57" s="1740" t="s">
        <v>10</v>
      </c>
      <c r="AJ57" s="2514">
        <f>XM.HN!F40</f>
        <v>5</v>
      </c>
      <c r="AK57" s="1736">
        <f>(1*AJ57*36.5)/(5*10)/32%/100</f>
        <v>0.1140625</v>
      </c>
      <c r="AL57" s="2465">
        <f>($G$57-AK57)*575</f>
        <v>-8.0859374999999947</v>
      </c>
      <c r="AM57" s="1738" t="s">
        <v>8</v>
      </c>
      <c r="AN57" s="1757">
        <f t="shared" si="10"/>
        <v>0</v>
      </c>
      <c r="AO57" s="2037" t="str">
        <f>IF('2. XL-1F TT(CA2)'!AF20="","",'2. XL-1F TT(CA2)'!AF20)</f>
        <v/>
      </c>
      <c r="AP57" s="1740" t="s">
        <v>10</v>
      </c>
      <c r="AQ57" s="2514">
        <f>XM.HN!G40</f>
        <v>4.5</v>
      </c>
      <c r="AR57" s="1736">
        <f>(1*AQ57*36.5)/(5*10)/32%/100</f>
        <v>0.10265625</v>
      </c>
      <c r="AS57" s="2658">
        <f>($G$57-AR57)*575</f>
        <v>-1.5273437499999993</v>
      </c>
      <c r="AT57" s="1738" t="s">
        <v>8</v>
      </c>
      <c r="AU57" s="1757">
        <f t="shared" si="11"/>
        <v>0</v>
      </c>
      <c r="AV57" s="2037" t="str">
        <f>IF('2. XL-1F TT(CA2)'!AJ20="","",'2. XL-1F TT(CA2)'!AJ20)</f>
        <v/>
      </c>
      <c r="AW57" s="1772" t="s">
        <v>10</v>
      </c>
      <c r="AY57" s="2158"/>
    </row>
    <row r="58" spans="1:55" ht="41.25" customHeight="1">
      <c r="A58" s="1713" t="s">
        <v>271</v>
      </c>
      <c r="B58" s="1031" t="s">
        <v>213</v>
      </c>
      <c r="C58" s="1029" t="s">
        <v>145</v>
      </c>
      <c r="D58" s="1035" t="s">
        <v>3</v>
      </c>
      <c r="E58" s="2186" t="s">
        <v>1326</v>
      </c>
      <c r="F58" s="1896" t="s">
        <v>1518</v>
      </c>
      <c r="G58" s="2593">
        <v>0.01</v>
      </c>
      <c r="H58" s="2514">
        <f>XM.HN!B41</f>
        <v>8.8000000000000007</v>
      </c>
      <c r="I58" s="1767">
        <f>(H58*0.126)/100</f>
        <v>1.1088000000000001E-2</v>
      </c>
      <c r="J58" s="2627">
        <f>($G$58-I58)*530/65%/1.51</f>
        <v>-0.58750891492613366</v>
      </c>
      <c r="K58" s="1766" t="s">
        <v>8</v>
      </c>
      <c r="L58" s="1768">
        <f t="shared" si="6"/>
        <v>0</v>
      </c>
      <c r="M58" s="2038" t="str">
        <f>IF('2. XL-1F TT '!AB21="","",'2. XL-1F TT '!AB21)</f>
        <v/>
      </c>
      <c r="N58" s="1758" t="s">
        <v>10</v>
      </c>
      <c r="O58" s="2562">
        <f>XM.HN!C41</f>
        <v>10.5</v>
      </c>
      <c r="P58" s="1767">
        <f>(O58*0.126)/100</f>
        <v>1.3229999999999999E-2</v>
      </c>
      <c r="Q58" s="2627">
        <f>($G$58-P58)*530/65%/1.51</f>
        <v>-1.744167091186958</v>
      </c>
      <c r="R58" s="1766" t="s">
        <v>8</v>
      </c>
      <c r="S58" s="1768">
        <f t="shared" si="7"/>
        <v>0</v>
      </c>
      <c r="T58" s="2038" t="str">
        <f>IF('2. XL-1F TT '!AF21="","",'2. XL-1F TT '!AF21)</f>
        <v/>
      </c>
      <c r="U58" s="1758" t="s">
        <v>10</v>
      </c>
      <c r="V58" s="2634">
        <f>XM.HN!D41</f>
        <v>8.8000000000000007</v>
      </c>
      <c r="W58" s="1767">
        <f>(V58*0.126)/100</f>
        <v>1.1088000000000001E-2</v>
      </c>
      <c r="X58" s="2627">
        <f>($G$58-W58)*530/65%/1.51</f>
        <v>-0.58750891492613366</v>
      </c>
      <c r="Y58" s="1766" t="s">
        <v>8</v>
      </c>
      <c r="Z58" s="1768">
        <f t="shared" si="8"/>
        <v>0</v>
      </c>
      <c r="AA58" s="2038" t="str">
        <f>IF('2. XL-1F TT '!AJ21="","",'2. XL-1F TT '!AJ21)</f>
        <v/>
      </c>
      <c r="AB58" s="1758" t="s">
        <v>10</v>
      </c>
      <c r="AC58" s="2634">
        <f>XM.HN!E41</f>
        <v>8.5</v>
      </c>
      <c r="AD58" s="1767">
        <f>(AC58*0.126)/100</f>
        <v>1.0709999999999999E-2</v>
      </c>
      <c r="AE58" s="2627">
        <f>($G$58-AD58)*530/65%/1.51</f>
        <v>-0.38339276617422241</v>
      </c>
      <c r="AF58" s="1766" t="s">
        <v>8</v>
      </c>
      <c r="AG58" s="1768">
        <f t="shared" si="9"/>
        <v>0</v>
      </c>
      <c r="AH58" s="2038" t="str">
        <f>IF('2. XL-1F TT(CA2)'!AB21="","",'2. XL-1F TT(CA2)'!AB21)</f>
        <v/>
      </c>
      <c r="AI58" s="1758" t="s">
        <v>10</v>
      </c>
      <c r="AJ58" s="2632">
        <f>XM.HN!F41</f>
        <v>10</v>
      </c>
      <c r="AK58" s="1767">
        <f>(AJ58*0.126)/100</f>
        <v>1.26E-2</v>
      </c>
      <c r="AL58" s="2627">
        <f>($G$58-AK58)*530/65%/1.51</f>
        <v>-1.4039735099337747</v>
      </c>
      <c r="AM58" s="1766" t="s">
        <v>8</v>
      </c>
      <c r="AN58" s="1768">
        <f t="shared" si="10"/>
        <v>0</v>
      </c>
      <c r="AO58" s="2038" t="str">
        <f>IF('2. XL-1F TT(CA2)'!AF21="","",'2. XL-1F TT(CA2)'!AF21)</f>
        <v/>
      </c>
      <c r="AP58" s="1758" t="s">
        <v>10</v>
      </c>
      <c r="AQ58" s="2632">
        <f>XM.HN!G41</f>
        <v>8</v>
      </c>
      <c r="AR58" s="1767">
        <f>(AQ58*0.126)/100</f>
        <v>1.008E-2</v>
      </c>
      <c r="AS58" s="2465">
        <f>($G$58-AR58)*530/65%/1.51</f>
        <v>-4.3199184921039337E-2</v>
      </c>
      <c r="AT58" s="1738" t="s">
        <v>8</v>
      </c>
      <c r="AU58" s="1768">
        <f t="shared" si="11"/>
        <v>0</v>
      </c>
      <c r="AV58" s="2037" t="str">
        <f>IF('2. XL-1F TT(CA2)'!AJ21="","",'2. XL-1F TT(CA2)'!AJ21)</f>
        <v/>
      </c>
      <c r="AW58" s="1740" t="s">
        <v>10</v>
      </c>
      <c r="AY58" s="2233" t="s">
        <v>1541</v>
      </c>
    </row>
    <row r="59" spans="1:55" ht="45" customHeight="1">
      <c r="A59" s="1712" t="s">
        <v>272</v>
      </c>
      <c r="B59" s="1031" t="s">
        <v>213</v>
      </c>
      <c r="C59" s="291" t="s">
        <v>829</v>
      </c>
      <c r="D59" s="44" t="s">
        <v>3</v>
      </c>
      <c r="E59" s="45" t="s">
        <v>1330</v>
      </c>
      <c r="F59" s="1896" t="s">
        <v>1311</v>
      </c>
      <c r="G59" s="2595">
        <v>6</v>
      </c>
      <c r="H59" s="2514">
        <f>XM.HN!B42</f>
        <v>7.25</v>
      </c>
      <c r="I59" s="1833">
        <f>IF(XM.HN!B42="","",H59*0.8+1.4)</f>
        <v>7.2000000000000011</v>
      </c>
      <c r="J59" s="2467">
        <f>($G$59-I59)*575/95</f>
        <v>-7.2631578947368478</v>
      </c>
      <c r="K59" s="1738" t="s">
        <v>8</v>
      </c>
      <c r="L59" s="1866">
        <f>IF(I59="","",IF(J59&lt;0,0,J59))</f>
        <v>0</v>
      </c>
      <c r="M59" s="2038" t="str">
        <f>IF('2. XL-1F TT '!AB22="","",'2. XL-1F TT '!AB22)</f>
        <v/>
      </c>
      <c r="N59" s="1744" t="s">
        <v>10</v>
      </c>
      <c r="O59" s="2517">
        <f>XM.HN!C42</f>
        <v>0</v>
      </c>
      <c r="P59" s="1833" t="s">
        <v>1679</v>
      </c>
      <c r="Q59" s="2467" t="e">
        <f>($G$59-P59)*575/95</f>
        <v>#VALUE!</v>
      </c>
      <c r="R59" s="1738" t="s">
        <v>8</v>
      </c>
      <c r="S59" s="1866"/>
      <c r="T59" s="2038" t="str">
        <f>IF('2. XL-1F TT '!AF22="","",'2. XL-1F TT '!AF22)</f>
        <v/>
      </c>
      <c r="U59" s="1744" t="s">
        <v>10</v>
      </c>
      <c r="V59" s="2517">
        <f>XM.HN!D42</f>
        <v>0</v>
      </c>
      <c r="W59" s="1833" t="s">
        <v>1679</v>
      </c>
      <c r="X59" s="2467" t="e">
        <f>($G$59-W59)*575/95</f>
        <v>#VALUE!</v>
      </c>
      <c r="Y59" s="1738" t="s">
        <v>8</v>
      </c>
      <c r="Z59" s="1866"/>
      <c r="AA59" s="2038" t="str">
        <f>IF('2. XL-1F TT '!AJ22="","",'2. XL-1F TT '!AJ22)</f>
        <v/>
      </c>
      <c r="AB59" s="1744" t="s">
        <v>10</v>
      </c>
      <c r="AC59" s="2517">
        <f>XM.HN!E42</f>
        <v>7.4</v>
      </c>
      <c r="AD59" s="1833">
        <f>IF(XM.HN!E42="","",AC59*0.8+1.4)</f>
        <v>7.32</v>
      </c>
      <c r="AE59" s="2467">
        <f>($G$59-AD59)*575/95</f>
        <v>-7.9894736842105276</v>
      </c>
      <c r="AF59" s="1738" t="s">
        <v>8</v>
      </c>
      <c r="AG59" s="1866">
        <f>IF(AD59="","",IF(AE59&lt;0,0,AE59))</f>
        <v>0</v>
      </c>
      <c r="AH59" s="2038" t="str">
        <f>IF('2. XL-1F TT(CA2)'!AB22="","",'2. XL-1F TT(CA2)'!AB22)</f>
        <v/>
      </c>
      <c r="AI59" s="1744" t="s">
        <v>10</v>
      </c>
      <c r="AJ59" s="2517">
        <f>XM.HN!F42</f>
        <v>0</v>
      </c>
      <c r="AK59" s="1833" t="s">
        <v>1692</v>
      </c>
      <c r="AL59" s="2467" t="e">
        <f>($G$59-AK59)*575/95</f>
        <v>#VALUE!</v>
      </c>
      <c r="AM59" s="1738" t="s">
        <v>8</v>
      </c>
      <c r="AN59" s="1866"/>
      <c r="AO59" s="2038" t="str">
        <f>IF('2. XL-1F TT(CA2)'!AF22="","",'2. XL-1F TT(CA2)'!AF22)</f>
        <v/>
      </c>
      <c r="AP59" s="1744" t="s">
        <v>10</v>
      </c>
      <c r="AQ59" s="2517">
        <f>XM.HN!G42</f>
        <v>0</v>
      </c>
      <c r="AR59" s="1833" t="s">
        <v>1692</v>
      </c>
      <c r="AS59" s="2467" t="e">
        <f>($G$59-AR59)*575/95</f>
        <v>#VALUE!</v>
      </c>
      <c r="AT59" s="1738" t="s">
        <v>8</v>
      </c>
      <c r="AU59" s="1866"/>
      <c r="AV59" s="2038" t="str">
        <f>IF('2. XL-1F TT(CA2)'!AJ22="","",'2. XL-1F TT(CA2)'!AJ22)</f>
        <v/>
      </c>
      <c r="AW59" s="1740" t="s">
        <v>10</v>
      </c>
      <c r="AY59" s="2158"/>
    </row>
    <row r="60" spans="1:55" ht="34.5" customHeight="1">
      <c r="A60" s="1041" t="s">
        <v>273</v>
      </c>
      <c r="B60" s="1031" t="s">
        <v>213</v>
      </c>
      <c r="C60" s="2269" t="str">
        <f>MENU!Z45</f>
        <v>Pha mới: 2024/07/28</v>
      </c>
      <c r="D60" s="44" t="s">
        <v>5</v>
      </c>
      <c r="E60" s="45" t="s">
        <v>1300</v>
      </c>
      <c r="F60" s="1896" t="s">
        <v>1213</v>
      </c>
      <c r="G60" s="2591"/>
      <c r="H60" s="2514"/>
      <c r="I60" s="1761">
        <f>XM.HN!B43</f>
        <v>2.0299999999999998</v>
      </c>
      <c r="J60" s="2477"/>
      <c r="K60" s="2061"/>
      <c r="L60" s="2062"/>
      <c r="M60" s="2179" t="str">
        <f>IF('2. XL-1F TT '!AB23="","",'2. XL-1F TT '!AB23)</f>
        <v/>
      </c>
      <c r="N60" s="2180"/>
      <c r="O60" s="2528"/>
      <c r="P60" s="1833" t="s">
        <v>1679</v>
      </c>
      <c r="Q60" s="2477"/>
      <c r="R60" s="2061"/>
      <c r="S60" s="2062"/>
      <c r="T60" s="2179" t="str">
        <f>IF('2. XL-1F TT '!AF23="","",'2. XL-1F TT '!AF23)</f>
        <v/>
      </c>
      <c r="U60" s="2180"/>
      <c r="V60" s="2528"/>
      <c r="W60" s="1833" t="s">
        <v>1679</v>
      </c>
      <c r="X60" s="2477"/>
      <c r="Y60" s="2061"/>
      <c r="Z60" s="2062"/>
      <c r="AA60" s="2179" t="str">
        <f>IF('2. XL-1F TT '!AJ23="","",'2. XL-1F TT '!AJ23)</f>
        <v/>
      </c>
      <c r="AB60" s="2180"/>
      <c r="AC60" s="2528"/>
      <c r="AD60" s="1761">
        <f>XM.HN!E43</f>
        <v>2</v>
      </c>
      <c r="AE60" s="2477"/>
      <c r="AF60" s="2061"/>
      <c r="AG60" s="2062"/>
      <c r="AH60" s="2179" t="str">
        <f>IF('2. XL-1F TT(CA2)'!AB23="","",'2. XL-1F TT(CA2)'!AB23)</f>
        <v/>
      </c>
      <c r="AI60" s="2180"/>
      <c r="AJ60" s="2528"/>
      <c r="AK60" s="1833" t="s">
        <v>1692</v>
      </c>
      <c r="AL60" s="2477"/>
      <c r="AM60" s="2061"/>
      <c r="AN60" s="2062"/>
      <c r="AO60" s="2179" t="str">
        <f>IF('2. XL-1F TT(CA2)'!AF23="","",'2. XL-1F TT(CA2)'!AF23)</f>
        <v/>
      </c>
      <c r="AP60" s="2180"/>
      <c r="AQ60" s="2528"/>
      <c r="AR60" s="1833" t="s">
        <v>1692</v>
      </c>
      <c r="AS60" s="2467"/>
      <c r="AT60" s="1738"/>
      <c r="AU60" s="1739"/>
      <c r="AV60" s="2037"/>
      <c r="AW60" s="1740"/>
      <c r="AY60" s="2158"/>
    </row>
    <row r="61" spans="1:55" s="205" customFormat="1" ht="54" customHeight="1">
      <c r="A61" s="284" t="s">
        <v>72</v>
      </c>
      <c r="B61" s="285"/>
      <c r="C61" s="285"/>
      <c r="D61" s="285"/>
      <c r="E61" s="282"/>
      <c r="F61" s="282"/>
      <c r="G61" s="2596"/>
      <c r="H61" s="2470"/>
      <c r="I61" s="285"/>
      <c r="J61" s="2470"/>
      <c r="K61" s="285"/>
      <c r="L61" s="285"/>
      <c r="M61" s="1617"/>
      <c r="N61" s="285"/>
      <c r="O61" s="2470"/>
      <c r="P61" s="286"/>
      <c r="Q61" s="2470"/>
      <c r="R61" s="285"/>
      <c r="S61" s="285"/>
      <c r="T61" s="1621"/>
      <c r="U61" s="286"/>
      <c r="V61" s="2470"/>
      <c r="W61" s="286"/>
      <c r="X61" s="2470"/>
      <c r="Y61" s="285"/>
      <c r="Z61" s="285"/>
      <c r="AA61" s="1617"/>
      <c r="AB61" s="285"/>
      <c r="AC61" s="2470"/>
      <c r="AD61" s="285"/>
      <c r="AE61" s="2470"/>
      <c r="AF61" s="285"/>
      <c r="AG61" s="285"/>
      <c r="AH61" s="1617"/>
      <c r="AI61" s="285"/>
      <c r="AJ61" s="2569"/>
      <c r="AK61" s="286"/>
      <c r="AL61" s="2569"/>
      <c r="AM61" s="286"/>
      <c r="AN61" s="286"/>
      <c r="AO61" s="1625"/>
      <c r="AP61" s="286"/>
      <c r="AQ61" s="2569"/>
      <c r="AR61" s="286"/>
      <c r="AS61" s="2569"/>
      <c r="AT61" s="286"/>
      <c r="AU61" s="286"/>
      <c r="AV61" s="1625"/>
      <c r="AW61" s="1001"/>
      <c r="AZ61" s="264"/>
      <c r="BA61" s="264"/>
      <c r="BB61" s="264"/>
      <c r="BC61" s="264"/>
    </row>
    <row r="62" spans="1:55" ht="44.25" customHeight="1">
      <c r="A62" s="1714" t="s">
        <v>236</v>
      </c>
      <c r="B62" s="1030" t="s">
        <v>315</v>
      </c>
      <c r="C62" s="1028" t="s">
        <v>60</v>
      </c>
      <c r="D62" s="1028" t="s">
        <v>62</v>
      </c>
      <c r="E62" s="1382" t="s">
        <v>1290</v>
      </c>
      <c r="F62" s="1888" t="s">
        <v>1289</v>
      </c>
      <c r="G62" s="2597"/>
      <c r="H62" s="2598"/>
      <c r="I62" s="1720" t="s">
        <v>45</v>
      </c>
      <c r="J62" s="2469"/>
      <c r="K62" s="1721"/>
      <c r="L62" s="1721" t="s">
        <v>61</v>
      </c>
      <c r="M62" s="1770"/>
      <c r="N62" s="1722"/>
      <c r="O62" s="2520"/>
      <c r="P62" s="1720" t="s">
        <v>45</v>
      </c>
      <c r="Q62" s="2469"/>
      <c r="R62" s="1721"/>
      <c r="S62" s="1721" t="s">
        <v>61</v>
      </c>
      <c r="T62" s="1770"/>
      <c r="U62" s="1773"/>
      <c r="V62" s="2550"/>
      <c r="W62" s="1720" t="s">
        <v>45</v>
      </c>
      <c r="X62" s="2469"/>
      <c r="Y62" s="1721"/>
      <c r="Z62" s="1721" t="s">
        <v>61</v>
      </c>
      <c r="AA62" s="1770"/>
      <c r="AB62" s="1773"/>
      <c r="AC62" s="2550"/>
      <c r="AD62" s="1720" t="s">
        <v>45</v>
      </c>
      <c r="AE62" s="2469"/>
      <c r="AF62" s="1721"/>
      <c r="AG62" s="1721" t="s">
        <v>61</v>
      </c>
      <c r="AH62" s="1770"/>
      <c r="AI62" s="1773"/>
      <c r="AJ62" s="2550"/>
      <c r="AK62" s="1720" t="s">
        <v>45</v>
      </c>
      <c r="AL62" s="2469"/>
      <c r="AM62" s="1721"/>
      <c r="AN62" s="1721" t="s">
        <v>61</v>
      </c>
      <c r="AO62" s="1770"/>
      <c r="AP62" s="1773"/>
      <c r="AQ62" s="2550"/>
      <c r="AR62" s="1720" t="s">
        <v>45</v>
      </c>
      <c r="AS62" s="2469"/>
      <c r="AT62" s="1721"/>
      <c r="AU62" s="1721" t="s">
        <v>61</v>
      </c>
      <c r="AV62" s="1770"/>
      <c r="AW62" s="1722"/>
      <c r="AY62" s="1042" t="s">
        <v>1503</v>
      </c>
    </row>
    <row r="63" spans="1:55" ht="46.5" customHeight="1">
      <c r="A63" s="1711" t="s">
        <v>274</v>
      </c>
      <c r="B63" s="1031" t="s">
        <v>213</v>
      </c>
      <c r="C63" s="1028" t="s">
        <v>64</v>
      </c>
      <c r="D63" s="94" t="s">
        <v>104</v>
      </c>
      <c r="E63" s="1610" t="s">
        <v>1328</v>
      </c>
      <c r="F63" s="1889" t="s">
        <v>1309</v>
      </c>
      <c r="G63" s="2605"/>
      <c r="H63" s="2606"/>
      <c r="I63" s="3095">
        <f>'XM.FILE GOC'!I63</f>
        <v>43</v>
      </c>
      <c r="J63" s="3086"/>
      <c r="K63" s="3086"/>
      <c r="L63" s="3086">
        <f>'XM.FILE GOC'!L63</f>
        <v>42</v>
      </c>
      <c r="M63" s="3086"/>
      <c r="N63" s="3097"/>
      <c r="O63" s="2521"/>
      <c r="P63" s="3095">
        <f>'XM.FILE GOC'!P63</f>
        <v>42</v>
      </c>
      <c r="Q63" s="3086"/>
      <c r="R63" s="3086"/>
      <c r="S63" s="3086">
        <f>'XM.FILE GOC'!S63</f>
        <v>43</v>
      </c>
      <c r="T63" s="3086"/>
      <c r="U63" s="3097"/>
      <c r="V63" s="2522"/>
      <c r="W63" s="3095">
        <f>'XM.FILE GOC'!W63</f>
        <v>55</v>
      </c>
      <c r="X63" s="3086"/>
      <c r="Y63" s="3086"/>
      <c r="Z63" s="3086">
        <f>'XM.FILE GOC'!Z63</f>
        <v>55</v>
      </c>
      <c r="AA63" s="3086"/>
      <c r="AB63" s="3097"/>
      <c r="AC63" s="2522"/>
      <c r="AD63" s="3095">
        <f>'XM.FILE GOC'!AD63</f>
        <v>55</v>
      </c>
      <c r="AE63" s="3086"/>
      <c r="AF63" s="3086"/>
      <c r="AG63" s="3086">
        <f>'XM.FILE GOC'!AG63</f>
        <v>54</v>
      </c>
      <c r="AH63" s="3086"/>
      <c r="AI63" s="3087"/>
      <c r="AJ63" s="2572"/>
      <c r="AK63" s="3095">
        <f>'XM.FILE GOC'!AK63</f>
        <v>55</v>
      </c>
      <c r="AL63" s="3086"/>
      <c r="AM63" s="3086"/>
      <c r="AN63" s="3086">
        <f>'XM.FILE GOC'!AN63</f>
        <v>54</v>
      </c>
      <c r="AO63" s="3086"/>
      <c r="AP63" s="3087"/>
      <c r="AQ63" s="2572"/>
      <c r="AR63" s="3095">
        <f>'XM.FILE GOC'!AR63</f>
        <v>55</v>
      </c>
      <c r="AS63" s="3086"/>
      <c r="AT63" s="3086"/>
      <c r="AU63" s="3086">
        <f>'XM.FILE GOC'!AU63</f>
        <v>54</v>
      </c>
      <c r="AV63" s="3086"/>
      <c r="AW63" s="3087"/>
      <c r="AY63" s="2158"/>
    </row>
    <row r="64" spans="1:55" ht="46.5" customHeight="1">
      <c r="A64" s="1711" t="s">
        <v>275</v>
      </c>
      <c r="B64" s="1031" t="s">
        <v>213</v>
      </c>
      <c r="C64" s="1015" t="s">
        <v>65</v>
      </c>
      <c r="D64" s="94" t="s">
        <v>104</v>
      </c>
      <c r="E64" s="1610" t="s">
        <v>1328</v>
      </c>
      <c r="F64" s="1889" t="s">
        <v>1309</v>
      </c>
      <c r="G64" s="2605"/>
      <c r="H64" s="2606"/>
      <c r="I64" s="3095">
        <f>'XM.FILE GOC'!I64</f>
        <v>58</v>
      </c>
      <c r="J64" s="3086"/>
      <c r="K64" s="3086"/>
      <c r="L64" s="3086">
        <f>'XM.FILE GOC'!L64</f>
        <v>57</v>
      </c>
      <c r="M64" s="3086"/>
      <c r="N64" s="3097"/>
      <c r="O64" s="2521"/>
      <c r="P64" s="3095">
        <f>'XM.FILE GOC'!P64</f>
        <v>57</v>
      </c>
      <c r="Q64" s="3086"/>
      <c r="R64" s="3086"/>
      <c r="S64" s="3086">
        <f>'XM.FILE GOC'!S64</f>
        <v>58</v>
      </c>
      <c r="T64" s="3086"/>
      <c r="U64" s="3097"/>
      <c r="V64" s="2522"/>
      <c r="W64" s="3095">
        <f>'XM.FILE GOC'!W64</f>
        <v>58</v>
      </c>
      <c r="X64" s="3086"/>
      <c r="Y64" s="3086"/>
      <c r="Z64" s="3086">
        <f>'XM.FILE GOC'!Z64</f>
        <v>58</v>
      </c>
      <c r="AA64" s="3086"/>
      <c r="AB64" s="3097"/>
      <c r="AC64" s="2522"/>
      <c r="AD64" s="3095">
        <f>'XM.FILE GOC'!AD64</f>
        <v>59</v>
      </c>
      <c r="AE64" s="3086"/>
      <c r="AF64" s="3086"/>
      <c r="AG64" s="3086">
        <f>'XM.FILE GOC'!AG64</f>
        <v>58</v>
      </c>
      <c r="AH64" s="3086"/>
      <c r="AI64" s="3087"/>
      <c r="AJ64" s="2572"/>
      <c r="AK64" s="3095">
        <f>'XM.FILE GOC'!AK64</f>
        <v>59</v>
      </c>
      <c r="AL64" s="3086"/>
      <c r="AM64" s="3086"/>
      <c r="AN64" s="3086">
        <f>'XM.FILE GOC'!AN64</f>
        <v>58</v>
      </c>
      <c r="AO64" s="3086"/>
      <c r="AP64" s="3087"/>
      <c r="AQ64" s="2572"/>
      <c r="AR64" s="3095">
        <f>'XM.FILE GOC'!AR64</f>
        <v>58</v>
      </c>
      <c r="AS64" s="3086"/>
      <c r="AT64" s="3086"/>
      <c r="AU64" s="3086">
        <f>'XM.FILE GOC'!AU64</f>
        <v>57</v>
      </c>
      <c r="AV64" s="3086"/>
      <c r="AW64" s="3087"/>
      <c r="AY64" s="2158"/>
    </row>
    <row r="65" spans="1:63" ht="46.5" customHeight="1">
      <c r="A65" s="1711" t="s">
        <v>276</v>
      </c>
      <c r="B65" s="1031" t="s">
        <v>213</v>
      </c>
      <c r="C65" s="1015" t="s">
        <v>67</v>
      </c>
      <c r="D65" s="94" t="s">
        <v>104</v>
      </c>
      <c r="E65" s="1330" t="s">
        <v>1332</v>
      </c>
      <c r="F65" s="2139" t="s">
        <v>1315</v>
      </c>
      <c r="G65" s="2605"/>
      <c r="H65" s="2606"/>
      <c r="I65" s="3095">
        <f>'XM.FILE GOC'!I65</f>
        <v>52</v>
      </c>
      <c r="J65" s="3086"/>
      <c r="K65" s="3097"/>
      <c r="L65" s="3086">
        <f>'XM.FILE GOC'!L65</f>
        <v>51</v>
      </c>
      <c r="M65" s="3086"/>
      <c r="N65" s="3087"/>
      <c r="O65" s="2520"/>
      <c r="P65" s="3095">
        <f>'XM.FILE GOC'!P65</f>
        <v>52</v>
      </c>
      <c r="Q65" s="3086"/>
      <c r="R65" s="3097"/>
      <c r="S65" s="3086">
        <f>'XM.FILE GOC'!S65</f>
        <v>51</v>
      </c>
      <c r="T65" s="3086"/>
      <c r="U65" s="3087"/>
      <c r="V65" s="2544"/>
      <c r="W65" s="3095">
        <f>'XM.FILE GOC'!W65</f>
        <v>52</v>
      </c>
      <c r="X65" s="3086"/>
      <c r="Y65" s="3097"/>
      <c r="Z65" s="3086">
        <f>'XM.FILE GOC'!Z65</f>
        <v>52</v>
      </c>
      <c r="AA65" s="3086"/>
      <c r="AB65" s="3087"/>
      <c r="AC65" s="2556"/>
      <c r="AD65" s="3095">
        <f>'XM.FILE GOC'!AD65</f>
        <v>53</v>
      </c>
      <c r="AE65" s="3086"/>
      <c r="AF65" s="3097"/>
      <c r="AG65" s="3086">
        <f>'XM.FILE GOC'!AG65</f>
        <v>52</v>
      </c>
      <c r="AH65" s="3086"/>
      <c r="AI65" s="3087"/>
      <c r="AJ65" s="2556"/>
      <c r="AK65" s="3095">
        <f>'XM.FILE GOC'!AK65</f>
        <v>52</v>
      </c>
      <c r="AL65" s="3086"/>
      <c r="AM65" s="3097"/>
      <c r="AN65" s="3086">
        <f>'XM.FILE GOC'!AN65</f>
        <v>51</v>
      </c>
      <c r="AO65" s="3086"/>
      <c r="AP65" s="3087"/>
      <c r="AQ65" s="2556"/>
      <c r="AR65" s="3095">
        <f>'XM.FILE GOC'!AR65</f>
        <v>53</v>
      </c>
      <c r="AS65" s="3086"/>
      <c r="AT65" s="3097"/>
      <c r="AU65" s="3086">
        <f>'XM.FILE GOC'!AU65</f>
        <v>52</v>
      </c>
      <c r="AV65" s="3086"/>
      <c r="AW65" s="3087"/>
      <c r="AY65" s="2158"/>
    </row>
    <row r="66" spans="1:63" ht="46.5" customHeight="1">
      <c r="A66" s="1711" t="s">
        <v>277</v>
      </c>
      <c r="B66" s="1031" t="s">
        <v>213</v>
      </c>
      <c r="C66" s="1015" t="s">
        <v>66</v>
      </c>
      <c r="D66" s="94" t="s">
        <v>104</v>
      </c>
      <c r="E66" s="1330" t="s">
        <v>1332</v>
      </c>
      <c r="F66" s="2139" t="s">
        <v>1315</v>
      </c>
      <c r="G66" s="2605"/>
      <c r="H66" s="2606"/>
      <c r="I66" s="3095">
        <f>'XM.FILE GOC'!I66</f>
        <v>50</v>
      </c>
      <c r="J66" s="3086"/>
      <c r="K66" s="3097"/>
      <c r="L66" s="3086">
        <f>'XM.FILE GOC'!L66</f>
        <v>49</v>
      </c>
      <c r="M66" s="3086"/>
      <c r="N66" s="3087"/>
      <c r="O66" s="2520"/>
      <c r="P66" s="3095">
        <f>'XM.FILE GOC'!P66</f>
        <v>48</v>
      </c>
      <c r="Q66" s="3086"/>
      <c r="R66" s="3097"/>
      <c r="S66" s="3086">
        <f>'XM.FILE GOC'!S66</f>
        <v>48</v>
      </c>
      <c r="T66" s="3086"/>
      <c r="U66" s="3087"/>
      <c r="V66" s="2544"/>
      <c r="W66" s="3095">
        <f>'XM.FILE GOC'!W66</f>
        <v>48</v>
      </c>
      <c r="X66" s="3086"/>
      <c r="Y66" s="3097"/>
      <c r="Z66" s="3086">
        <f>'XM.FILE GOC'!Z66</f>
        <v>48</v>
      </c>
      <c r="AA66" s="3086"/>
      <c r="AB66" s="3087"/>
      <c r="AC66" s="2556"/>
      <c r="AD66" s="3095">
        <f>'XM.FILE GOC'!AD66</f>
        <v>49</v>
      </c>
      <c r="AE66" s="3086"/>
      <c r="AF66" s="3097"/>
      <c r="AG66" s="3086">
        <f>'XM.FILE GOC'!AG66</f>
        <v>48</v>
      </c>
      <c r="AH66" s="3086"/>
      <c r="AI66" s="3087"/>
      <c r="AJ66" s="2556"/>
      <c r="AK66" s="3095">
        <f>'XM.FILE GOC'!AK66</f>
        <v>51</v>
      </c>
      <c r="AL66" s="3086"/>
      <c r="AM66" s="3097"/>
      <c r="AN66" s="3086">
        <f>'XM.FILE GOC'!AN66</f>
        <v>50</v>
      </c>
      <c r="AO66" s="3086"/>
      <c r="AP66" s="3087"/>
      <c r="AQ66" s="2556"/>
      <c r="AR66" s="3095">
        <f>'XM.FILE GOC'!AR66</f>
        <v>49</v>
      </c>
      <c r="AS66" s="3086"/>
      <c r="AT66" s="3097"/>
      <c r="AU66" s="3086">
        <f>'XM.FILE GOC'!AU66</f>
        <v>48</v>
      </c>
      <c r="AV66" s="3086"/>
      <c r="AW66" s="3087"/>
      <c r="AY66" s="2158"/>
    </row>
    <row r="67" spans="1:63" ht="46.5" customHeight="1">
      <c r="A67" s="1711" t="s">
        <v>313</v>
      </c>
      <c r="B67" s="1031" t="s">
        <v>213</v>
      </c>
      <c r="C67" s="1015" t="s">
        <v>68</v>
      </c>
      <c r="D67" s="94" t="s">
        <v>104</v>
      </c>
      <c r="E67" s="97" t="s">
        <v>1510</v>
      </c>
      <c r="F67" s="1897" t="s">
        <v>1507</v>
      </c>
      <c r="G67" s="2605"/>
      <c r="H67" s="2606"/>
      <c r="I67" s="3095">
        <f>'XM.FILE GOC'!I67</f>
        <v>28</v>
      </c>
      <c r="J67" s="3086"/>
      <c r="K67" s="3086"/>
      <c r="L67" s="3086">
        <f>'XM.FILE GOC'!L67</f>
        <v>27</v>
      </c>
      <c r="M67" s="3086"/>
      <c r="N67" s="3086"/>
      <c r="O67" s="3087"/>
      <c r="P67" s="3095">
        <f>'XM.FILE GOC'!P67</f>
        <v>29</v>
      </c>
      <c r="Q67" s="3086"/>
      <c r="R67" s="3086"/>
      <c r="S67" s="3086">
        <f>'XM.FILE GOC'!S67</f>
        <v>30</v>
      </c>
      <c r="T67" s="3086"/>
      <c r="U67" s="3086"/>
      <c r="V67" s="3087"/>
      <c r="W67" s="3095">
        <f>'XM.FILE GOC'!W67</f>
        <v>30</v>
      </c>
      <c r="X67" s="3086"/>
      <c r="Y67" s="3086"/>
      <c r="Z67" s="3086">
        <f>'XM.FILE GOC'!Z67</f>
        <v>30</v>
      </c>
      <c r="AA67" s="3086"/>
      <c r="AB67" s="3086"/>
      <c r="AC67" s="3087"/>
      <c r="AD67" s="3095">
        <f>'XM.FILE GOC'!AD67</f>
        <v>30</v>
      </c>
      <c r="AE67" s="3086"/>
      <c r="AF67" s="3086"/>
      <c r="AG67" s="3086">
        <f>'XM.FILE GOC'!AG67</f>
        <v>29</v>
      </c>
      <c r="AH67" s="3086"/>
      <c r="AI67" s="3086"/>
      <c r="AJ67" s="3087"/>
      <c r="AK67" s="3095">
        <f>'XM.FILE GOC'!AK67</f>
        <v>30</v>
      </c>
      <c r="AL67" s="3086"/>
      <c r="AM67" s="3086"/>
      <c r="AN67" s="3086">
        <f>'XM.FILE GOC'!AN67</f>
        <v>29</v>
      </c>
      <c r="AO67" s="3086"/>
      <c r="AP67" s="3086"/>
      <c r="AQ67" s="3087"/>
      <c r="AR67" s="3095">
        <f>'XM.FILE GOC'!AR67</f>
        <v>29</v>
      </c>
      <c r="AS67" s="3086"/>
      <c r="AT67" s="3086"/>
      <c r="AU67" s="3086">
        <f>'XM.FILE GOC'!AU67</f>
        <v>29</v>
      </c>
      <c r="AV67" s="3086"/>
      <c r="AW67" s="3087"/>
      <c r="AY67" s="2158"/>
    </row>
    <row r="68" spans="1:63" ht="46.5" customHeight="1">
      <c r="A68" s="1712" t="s">
        <v>278</v>
      </c>
      <c r="B68" s="1031" t="s">
        <v>213</v>
      </c>
      <c r="C68" s="1015" t="s">
        <v>146</v>
      </c>
      <c r="D68" s="94" t="s">
        <v>104</v>
      </c>
      <c r="E68" s="97" t="s">
        <v>1331</v>
      </c>
      <c r="F68" s="1897" t="s">
        <v>1307</v>
      </c>
      <c r="G68" s="2605"/>
      <c r="H68" s="2606"/>
      <c r="I68" s="3095">
        <f>'XM.FILE GOC'!I68</f>
        <v>39</v>
      </c>
      <c r="J68" s="3086"/>
      <c r="K68" s="3086"/>
      <c r="L68" s="3086">
        <f>'XM.FILE GOC'!L68</f>
        <v>38</v>
      </c>
      <c r="M68" s="3086"/>
      <c r="N68" s="3086"/>
      <c r="O68" s="3087"/>
      <c r="P68" s="3095">
        <f>'XM.FILE GOC'!P68</f>
        <v>38</v>
      </c>
      <c r="Q68" s="3086"/>
      <c r="R68" s="3086"/>
      <c r="S68" s="3086">
        <f>'XM.FILE GOC'!S68</f>
        <v>38</v>
      </c>
      <c r="T68" s="3086"/>
      <c r="U68" s="3086"/>
      <c r="V68" s="3087"/>
      <c r="W68" s="3095">
        <f>'XM.FILE GOC'!W68</f>
        <v>38</v>
      </c>
      <c r="X68" s="3086"/>
      <c r="Y68" s="3086"/>
      <c r="Z68" s="3086">
        <f>'XM.FILE GOC'!Z68</f>
        <v>38</v>
      </c>
      <c r="AA68" s="3086"/>
      <c r="AB68" s="3086"/>
      <c r="AC68" s="3087"/>
      <c r="AD68" s="3095">
        <f>'XM.FILE GOC'!AD68</f>
        <v>38</v>
      </c>
      <c r="AE68" s="3086"/>
      <c r="AF68" s="3086"/>
      <c r="AG68" s="3086">
        <f>'XM.FILE GOC'!AG68</f>
        <v>38</v>
      </c>
      <c r="AH68" s="3086"/>
      <c r="AI68" s="3086"/>
      <c r="AJ68" s="3087"/>
      <c r="AK68" s="3095">
        <f>'XM.FILE GOC'!AK68</f>
        <v>37</v>
      </c>
      <c r="AL68" s="3086"/>
      <c r="AM68" s="3086"/>
      <c r="AN68" s="3086">
        <f>'XM.FILE GOC'!AN68</f>
        <v>37</v>
      </c>
      <c r="AO68" s="3086"/>
      <c r="AP68" s="3086"/>
      <c r="AQ68" s="3087"/>
      <c r="AR68" s="3095">
        <f>'XM.FILE GOC'!AR68</f>
        <v>37</v>
      </c>
      <c r="AS68" s="3086"/>
      <c r="AT68" s="3086"/>
      <c r="AU68" s="3086">
        <f>'XM.FILE GOC'!AU68</f>
        <v>37</v>
      </c>
      <c r="AV68" s="3086"/>
      <c r="AW68" s="3087"/>
      <c r="AY68" s="2158"/>
    </row>
    <row r="69" spans="1:63" ht="46.5" customHeight="1">
      <c r="A69" s="1712" t="s">
        <v>279</v>
      </c>
      <c r="B69" s="1031" t="s">
        <v>213</v>
      </c>
      <c r="C69" s="1015" t="s">
        <v>69</v>
      </c>
      <c r="D69" s="94" t="s">
        <v>104</v>
      </c>
      <c r="E69" s="1610" t="s">
        <v>1328</v>
      </c>
      <c r="F69" s="1889" t="s">
        <v>1514</v>
      </c>
      <c r="G69" s="2605"/>
      <c r="H69" s="2606"/>
      <c r="I69" s="3095">
        <f>'XM.FILE GOC'!I69</f>
        <v>53</v>
      </c>
      <c r="J69" s="3086"/>
      <c r="K69" s="3097"/>
      <c r="L69" s="3086">
        <f>'XM.FILE GOC'!L69</f>
        <v>52</v>
      </c>
      <c r="M69" s="3086"/>
      <c r="N69" s="3087"/>
      <c r="O69" s="2521"/>
      <c r="P69" s="3095">
        <f>'XM.FILE GOC'!P69</f>
        <v>52</v>
      </c>
      <c r="Q69" s="3086"/>
      <c r="R69" s="3097"/>
      <c r="S69" s="3086">
        <f>'XM.FILE GOC'!S69</f>
        <v>52</v>
      </c>
      <c r="T69" s="3086"/>
      <c r="U69" s="3087"/>
      <c r="V69" s="2522"/>
      <c r="W69" s="3095">
        <f>'XM.FILE GOC'!W69</f>
        <v>52</v>
      </c>
      <c r="X69" s="3086"/>
      <c r="Y69" s="3097"/>
      <c r="Z69" s="3086">
        <f>'XM.FILE GOC'!Z69</f>
        <v>53</v>
      </c>
      <c r="AA69" s="3086"/>
      <c r="AB69" s="3087"/>
      <c r="AC69" s="2522"/>
      <c r="AD69" s="3095">
        <f>'XM.FILE GOC'!AD69</f>
        <v>55</v>
      </c>
      <c r="AE69" s="3086"/>
      <c r="AF69" s="3097"/>
      <c r="AG69" s="3086">
        <f>'XM.FILE GOC'!AG69</f>
        <v>54</v>
      </c>
      <c r="AH69" s="3086"/>
      <c r="AI69" s="3087"/>
      <c r="AJ69" s="2572"/>
      <c r="AK69" s="3095">
        <f>'XM.FILE GOC'!AK69</f>
        <v>55</v>
      </c>
      <c r="AL69" s="3086"/>
      <c r="AM69" s="3097"/>
      <c r="AN69" s="3086">
        <f>'XM.FILE GOC'!AN69</f>
        <v>54</v>
      </c>
      <c r="AO69" s="3086"/>
      <c r="AP69" s="3087"/>
      <c r="AQ69" s="2572"/>
      <c r="AR69" s="3095">
        <f>'XM.FILE GOC'!AR69</f>
        <v>54</v>
      </c>
      <c r="AS69" s="3086"/>
      <c r="AT69" s="3097"/>
      <c r="AU69" s="3086">
        <f>'XM.FILE GOC'!AU69</f>
        <v>53</v>
      </c>
      <c r="AV69" s="3086"/>
      <c r="AW69" s="3087"/>
      <c r="AY69" s="2158"/>
    </row>
    <row r="70" spans="1:63" ht="46.5" customHeight="1">
      <c r="A70" s="1041" t="s">
        <v>280</v>
      </c>
      <c r="B70" s="1031" t="s">
        <v>213</v>
      </c>
      <c r="C70" s="1015" t="s">
        <v>70</v>
      </c>
      <c r="D70" s="94" t="s">
        <v>104</v>
      </c>
      <c r="E70" s="1610" t="s">
        <v>1513</v>
      </c>
      <c r="F70" s="1889" t="s">
        <v>1502</v>
      </c>
      <c r="G70" s="2605"/>
      <c r="H70" s="2606"/>
      <c r="I70" s="3112"/>
      <c r="J70" s="3113"/>
      <c r="K70" s="3113"/>
      <c r="L70" s="3086">
        <f>'XM.FILE GOC'!L70</f>
        <v>90</v>
      </c>
      <c r="M70" s="3086"/>
      <c r="N70" s="3087"/>
      <c r="O70" s="2530"/>
      <c r="P70" s="3092"/>
      <c r="Q70" s="3093"/>
      <c r="R70" s="3094"/>
      <c r="S70" s="3086">
        <f>'XM.FILE GOC'!S70</f>
        <v>92</v>
      </c>
      <c r="T70" s="3086"/>
      <c r="U70" s="3087"/>
      <c r="V70" s="2530"/>
      <c r="W70" s="3092"/>
      <c r="X70" s="3093"/>
      <c r="Y70" s="3094"/>
      <c r="Z70" s="3086">
        <f>'XM.FILE GOC'!Z70</f>
        <v>83</v>
      </c>
      <c r="AA70" s="3086"/>
      <c r="AB70" s="3087"/>
      <c r="AC70" s="2530"/>
      <c r="AD70" s="3092"/>
      <c r="AE70" s="3093"/>
      <c r="AF70" s="3094"/>
      <c r="AG70" s="3086">
        <f>'XM.FILE GOC'!AG70</f>
        <v>90</v>
      </c>
      <c r="AH70" s="3086"/>
      <c r="AI70" s="3087"/>
      <c r="AJ70" s="2530"/>
      <c r="AK70" s="3092"/>
      <c r="AL70" s="3093"/>
      <c r="AM70" s="3094"/>
      <c r="AN70" s="3086">
        <f>'XM.FILE GOC'!AN70</f>
        <v>86</v>
      </c>
      <c r="AO70" s="3086"/>
      <c r="AP70" s="3087"/>
      <c r="AQ70" s="2530"/>
      <c r="AR70" s="3092"/>
      <c r="AS70" s="3093"/>
      <c r="AT70" s="3094"/>
      <c r="AU70" s="3086">
        <f>'XM.FILE GOC'!AU70</f>
        <v>89</v>
      </c>
      <c r="AV70" s="3086"/>
      <c r="AW70" s="3087"/>
      <c r="AY70" s="2158"/>
    </row>
    <row r="71" spans="1:63" s="205" customFormat="1" ht="54" customHeight="1">
      <c r="A71" s="284" t="s">
        <v>74</v>
      </c>
      <c r="B71" s="285"/>
      <c r="C71" s="285"/>
      <c r="D71" s="285"/>
      <c r="E71" s="282"/>
      <c r="F71" s="282"/>
      <c r="G71" s="2596"/>
      <c r="H71" s="2470"/>
      <c r="I71" s="285"/>
      <c r="J71" s="2470"/>
      <c r="K71" s="285"/>
      <c r="L71" s="285"/>
      <c r="M71" s="1617"/>
      <c r="N71" s="285"/>
      <c r="O71" s="2470"/>
      <c r="P71" s="286"/>
      <c r="Q71" s="2470"/>
      <c r="R71" s="285"/>
      <c r="S71" s="285"/>
      <c r="T71" s="1621"/>
      <c r="U71" s="286"/>
      <c r="V71" s="2470"/>
      <c r="W71" s="286"/>
      <c r="X71" s="2470"/>
      <c r="Y71" s="285"/>
      <c r="Z71" s="285"/>
      <c r="AA71" s="1617"/>
      <c r="AB71" s="285"/>
      <c r="AC71" s="2470"/>
      <c r="AD71" s="285"/>
      <c r="AE71" s="2470"/>
      <c r="AF71" s="285"/>
      <c r="AG71" s="285"/>
      <c r="AH71" s="1617"/>
      <c r="AI71" s="285"/>
      <c r="AJ71" s="2569"/>
      <c r="AK71" s="286"/>
      <c r="AL71" s="2569"/>
      <c r="AM71" s="286"/>
      <c r="AN71" s="286"/>
      <c r="AO71" s="1625"/>
      <c r="AP71" s="286"/>
      <c r="AQ71" s="2569"/>
      <c r="AR71" s="286"/>
      <c r="AS71" s="2569"/>
      <c r="AT71" s="286"/>
      <c r="AU71" s="286"/>
      <c r="AV71" s="286"/>
      <c r="AW71" s="286"/>
      <c r="AX71" s="286"/>
      <c r="AY71" s="286"/>
      <c r="AZ71" s="264"/>
      <c r="BA71" s="264"/>
      <c r="BB71" s="264"/>
      <c r="BC71" s="264"/>
    </row>
    <row r="72" spans="1:63" ht="51" customHeight="1">
      <c r="A72" s="1712" t="s">
        <v>281</v>
      </c>
      <c r="B72" s="1031" t="s">
        <v>213</v>
      </c>
      <c r="C72" s="1032" t="s">
        <v>234</v>
      </c>
      <c r="D72" s="1056" t="s">
        <v>1641</v>
      </c>
      <c r="E72" s="266" t="s">
        <v>1282</v>
      </c>
      <c r="F72" s="1897" t="s">
        <v>1282</v>
      </c>
      <c r="G72" s="2607"/>
      <c r="H72" s="2608"/>
      <c r="I72" s="3295">
        <f>'XM.FILE GOC'!I72</f>
        <v>175</v>
      </c>
      <c r="J72" s="3357"/>
      <c r="K72" s="3357"/>
      <c r="L72" s="3357"/>
      <c r="M72" s="3357"/>
      <c r="N72" s="3282"/>
      <c r="O72" s="2637"/>
      <c r="P72" s="3295">
        <f>'XM.FILE GOC'!P72</f>
        <v>178</v>
      </c>
      <c r="Q72" s="3357"/>
      <c r="R72" s="3357"/>
      <c r="S72" s="3357"/>
      <c r="T72" s="3357"/>
      <c r="U72" s="3282"/>
      <c r="V72" s="2645"/>
      <c r="W72" s="3295">
        <f>'XM.FILE GOC'!W72</f>
        <v>160</v>
      </c>
      <c r="X72" s="3357"/>
      <c r="Y72" s="3357"/>
      <c r="Z72" s="3357"/>
      <c r="AA72" s="3357"/>
      <c r="AB72" s="3282"/>
      <c r="AC72" s="2651"/>
      <c r="AD72" s="3295">
        <f>'XM.FILE GOC'!AD72</f>
        <v>160</v>
      </c>
      <c r="AE72" s="3357"/>
      <c r="AF72" s="3357"/>
      <c r="AG72" s="3357"/>
      <c r="AH72" s="3357"/>
      <c r="AI72" s="3282"/>
      <c r="AJ72" s="2654"/>
      <c r="AK72" s="3295">
        <f>'XM.FILE GOC'!AK72</f>
        <v>165</v>
      </c>
      <c r="AL72" s="3357"/>
      <c r="AM72" s="3357"/>
      <c r="AN72" s="3357"/>
      <c r="AO72" s="3357"/>
      <c r="AP72" s="3282"/>
      <c r="AQ72" s="2654"/>
      <c r="AR72" s="3283">
        <f>'XM.FILE GOC'!AR72</f>
        <v>165</v>
      </c>
      <c r="AS72" s="3283"/>
      <c r="AT72" s="3283"/>
      <c r="AU72" s="3283"/>
      <c r="AV72" s="3283"/>
      <c r="AW72" s="3283"/>
      <c r="AY72" s="2158"/>
    </row>
    <row r="73" spans="1:63" ht="51" customHeight="1">
      <c r="A73" s="1041" t="s">
        <v>282</v>
      </c>
      <c r="B73" s="1031" t="s">
        <v>213</v>
      </c>
      <c r="C73" s="101" t="s">
        <v>235</v>
      </c>
      <c r="D73" s="1056" t="s">
        <v>1641</v>
      </c>
      <c r="E73" s="1611" t="s">
        <v>1283</v>
      </c>
      <c r="F73" s="1897" t="s">
        <v>1283</v>
      </c>
      <c r="G73" s="2607"/>
      <c r="H73" s="2608"/>
      <c r="I73" s="3295">
        <f>'XM.FILE GOC'!I73</f>
        <v>30</v>
      </c>
      <c r="J73" s="3357"/>
      <c r="K73" s="3357"/>
      <c r="L73" s="3357"/>
      <c r="M73" s="3357"/>
      <c r="N73" s="3282"/>
      <c r="O73" s="2638"/>
      <c r="P73" s="3295">
        <f>'XM.FILE GOC'!P73</f>
        <v>32</v>
      </c>
      <c r="Q73" s="3357"/>
      <c r="R73" s="3357"/>
      <c r="S73" s="3357"/>
      <c r="T73" s="3357"/>
      <c r="U73" s="3282"/>
      <c r="V73" s="2645">
        <f>'XM.FILE GOC'!W73</f>
        <v>24</v>
      </c>
      <c r="W73" s="3295">
        <f>'XM.FILE GOC'!W73</f>
        <v>24</v>
      </c>
      <c r="X73" s="3357"/>
      <c r="Y73" s="3357"/>
      <c r="Z73" s="3357"/>
      <c r="AA73" s="3357"/>
      <c r="AB73" s="3282"/>
      <c r="AC73" s="2638"/>
      <c r="AD73" s="3295">
        <f>'XM.FILE GOC'!AD73</f>
        <v>24</v>
      </c>
      <c r="AE73" s="3357"/>
      <c r="AF73" s="3357"/>
      <c r="AG73" s="3357"/>
      <c r="AH73" s="3357"/>
      <c r="AI73" s="3357"/>
      <c r="AJ73" s="2655"/>
      <c r="AK73" s="3295">
        <f>'XM.FILE GOC'!AK73</f>
        <v>27</v>
      </c>
      <c r="AL73" s="3357"/>
      <c r="AM73" s="3357"/>
      <c r="AN73" s="3357"/>
      <c r="AO73" s="3357"/>
      <c r="AP73" s="3357"/>
      <c r="AQ73" s="2655"/>
      <c r="AR73" s="3283">
        <f>'XM.FILE GOC'!AR73</f>
        <v>29</v>
      </c>
      <c r="AS73" s="3283"/>
      <c r="AT73" s="3283"/>
      <c r="AU73" s="3283"/>
      <c r="AV73" s="3283"/>
      <c r="AW73" s="3283"/>
      <c r="AY73" s="2158"/>
    </row>
    <row r="74" spans="1:63" ht="26.25" customHeight="1">
      <c r="A74" s="1718"/>
      <c r="B74" s="265"/>
      <c r="C74" s="265"/>
      <c r="D74" s="265"/>
      <c r="E74" s="265"/>
      <c r="F74" s="1601"/>
      <c r="G74" s="2609"/>
      <c r="H74" s="2478"/>
      <c r="I74" s="265"/>
      <c r="J74" s="2478"/>
      <c r="K74" s="265"/>
      <c r="L74" s="265"/>
      <c r="M74" s="1619"/>
      <c r="N74" s="265"/>
      <c r="O74" s="2478"/>
      <c r="P74" s="265"/>
      <c r="Q74" s="2478"/>
      <c r="R74" s="265"/>
      <c r="S74" s="265"/>
      <c r="T74" s="1619"/>
      <c r="U74" s="265"/>
      <c r="V74" s="2478"/>
      <c r="W74" s="265"/>
      <c r="X74" s="2478"/>
      <c r="Y74" s="265"/>
      <c r="Z74" s="265"/>
      <c r="AA74" s="1619"/>
      <c r="AB74" s="265"/>
      <c r="AC74" s="2478"/>
      <c r="AD74" s="265"/>
      <c r="AE74" s="2478"/>
      <c r="AF74" s="265"/>
      <c r="AG74" s="265"/>
      <c r="AH74" s="1619"/>
      <c r="AI74" s="265"/>
      <c r="AJ74" s="2478"/>
      <c r="AK74" s="265"/>
      <c r="AL74" s="2478"/>
      <c r="AM74" s="265"/>
      <c r="AN74" s="265"/>
      <c r="AO74" s="1619"/>
      <c r="AP74" s="265"/>
      <c r="AQ74" s="2478"/>
      <c r="AR74" s="265"/>
      <c r="AS74" s="2478"/>
      <c r="AT74" s="265"/>
      <c r="AU74" s="265"/>
      <c r="AV74" s="1619"/>
      <c r="AW74" s="265"/>
    </row>
    <row r="75" spans="1:63" ht="41.25" customHeight="1">
      <c r="A75" s="2694"/>
      <c r="B75" s="2683"/>
      <c r="C75" s="2694" t="s">
        <v>1469</v>
      </c>
      <c r="D75" s="2684"/>
      <c r="E75" s="2695"/>
      <c r="F75" s="2684"/>
      <c r="G75" s="2696" t="s">
        <v>71</v>
      </c>
      <c r="H75" s="2688"/>
      <c r="I75" s="2697" t="str">
        <f>MENU!$AC$9</f>
        <v>Thứ 5,</v>
      </c>
      <c r="J75" s="2688"/>
      <c r="K75" s="2688"/>
      <c r="L75" s="2689" t="str">
        <f>MENU!$AD$9</f>
        <v>2024/08/01</v>
      </c>
      <c r="M75" s="2698"/>
      <c r="N75" s="2690"/>
      <c r="O75" s="2690"/>
      <c r="P75" s="2690"/>
      <c r="Q75" s="2690"/>
      <c r="R75" s="2690"/>
      <c r="S75" s="2690"/>
      <c r="T75" s="2698"/>
      <c r="U75" s="2688"/>
      <c r="V75" s="2688"/>
      <c r="W75" s="2688"/>
      <c r="X75" s="2688"/>
      <c r="Y75" s="2688"/>
      <c r="Z75" s="2688"/>
      <c r="AA75" s="2699"/>
      <c r="AB75" s="2688"/>
      <c r="AC75" s="2688"/>
      <c r="AD75" s="2700" t="s">
        <v>126</v>
      </c>
      <c r="AE75" s="2688"/>
      <c r="AF75" s="2688"/>
      <c r="AG75" s="2688"/>
      <c r="AH75" s="2699"/>
      <c r="AI75" s="2688"/>
      <c r="AJ75" s="2691"/>
      <c r="AK75" s="2683"/>
      <c r="AL75" s="2692"/>
      <c r="AM75" s="2692"/>
      <c r="AN75" s="2692"/>
      <c r="AO75" s="2701"/>
      <c r="AP75" s="2692"/>
      <c r="AQ75" s="2692"/>
      <c r="AR75" s="2692"/>
      <c r="AS75" s="2692"/>
      <c r="AT75" s="2692"/>
      <c r="AU75" s="2692"/>
      <c r="AV75" s="2701"/>
      <c r="AW75" s="2693"/>
      <c r="AY75" s="3353" t="s">
        <v>1503</v>
      </c>
      <c r="AZ75" s="1043" t="s">
        <v>1013</v>
      </c>
      <c r="BA75" s="1043"/>
      <c r="BB75" s="1043"/>
      <c r="BC75" s="1043"/>
      <c r="BD75" s="1043"/>
      <c r="BE75" s="1043"/>
      <c r="BF75" s="1043"/>
      <c r="BG75" s="1043"/>
      <c r="BH75" s="1043"/>
      <c r="BI75" s="1043"/>
      <c r="BJ75" s="1043"/>
      <c r="BK75" s="1043"/>
    </row>
    <row r="76" spans="1:63" ht="28.5" customHeight="1">
      <c r="A76" s="1716"/>
      <c r="B76" s="1027"/>
      <c r="C76" s="1027"/>
      <c r="D76" s="1027"/>
      <c r="E76" s="1598"/>
      <c r="F76" s="1892"/>
      <c r="G76" s="3363" t="s">
        <v>124</v>
      </c>
      <c r="H76" s="2585"/>
      <c r="I76" s="268" t="s">
        <v>1454</v>
      </c>
      <c r="J76" s="2458"/>
      <c r="K76" s="268"/>
      <c r="L76" s="268"/>
      <c r="M76" s="1616"/>
      <c r="N76" s="268"/>
      <c r="O76" s="2509"/>
      <c r="P76" s="281" t="s">
        <v>1444</v>
      </c>
      <c r="Q76" s="2458"/>
      <c r="R76" s="268"/>
      <c r="S76" s="268"/>
      <c r="T76" s="1616"/>
      <c r="U76" s="269"/>
      <c r="V76" s="2458"/>
      <c r="W76" s="268" t="s">
        <v>1445</v>
      </c>
      <c r="X76" s="2458"/>
      <c r="Y76" s="268"/>
      <c r="Z76" s="268"/>
      <c r="AA76" s="1616"/>
      <c r="AB76" s="268"/>
      <c r="AC76" s="2509"/>
      <c r="AD76" s="281" t="s">
        <v>1446</v>
      </c>
      <c r="AE76" s="2458"/>
      <c r="AF76" s="268"/>
      <c r="AG76" s="268"/>
      <c r="AH76" s="1616"/>
      <c r="AI76" s="269"/>
      <c r="AJ76" s="2458"/>
      <c r="AK76" s="268" t="s">
        <v>1447</v>
      </c>
      <c r="AL76" s="2458"/>
      <c r="AM76" s="268"/>
      <c r="AN76" s="268"/>
      <c r="AO76" s="1616"/>
      <c r="AP76" s="268"/>
      <c r="AQ76" s="2458"/>
      <c r="AR76" s="281" t="s">
        <v>1448</v>
      </c>
      <c r="AS76" s="2458"/>
      <c r="AT76" s="268"/>
      <c r="AU76" s="269"/>
      <c r="AV76" s="1627"/>
      <c r="AW76" s="1000"/>
      <c r="AY76" s="3353"/>
      <c r="AZ76" s="1043"/>
      <c r="BA76" s="1043"/>
      <c r="BB76" s="1043"/>
      <c r="BC76" s="1043"/>
      <c r="BD76" s="1043"/>
      <c r="BE76" s="1043"/>
      <c r="BF76" s="1043"/>
      <c r="BG76" s="1043"/>
      <c r="BH76" s="1043"/>
      <c r="BI76" s="1043"/>
      <c r="BJ76" s="1043"/>
      <c r="BK76" s="1043"/>
    </row>
    <row r="77" spans="1:63" ht="67.5" customHeight="1">
      <c r="A77" s="1717" t="s">
        <v>236</v>
      </c>
      <c r="B77" s="1030" t="s">
        <v>315</v>
      </c>
      <c r="C77" s="1034" t="s">
        <v>314</v>
      </c>
      <c r="D77" s="1823" t="s">
        <v>123</v>
      </c>
      <c r="E77" s="1382" t="s">
        <v>1290</v>
      </c>
      <c r="F77" s="1893" t="s">
        <v>1289</v>
      </c>
      <c r="G77" s="3364"/>
      <c r="H77" s="2542"/>
      <c r="I77" s="1754" t="s">
        <v>1431</v>
      </c>
      <c r="J77" s="2624" t="s">
        <v>1</v>
      </c>
      <c r="K77" s="3350" t="s">
        <v>1432</v>
      </c>
      <c r="L77" s="3350"/>
      <c r="M77" s="3351" t="s">
        <v>1489</v>
      </c>
      <c r="N77" s="3352"/>
      <c r="O77" s="2510"/>
      <c r="P77" s="1754" t="s">
        <v>1431</v>
      </c>
      <c r="Q77" s="2624" t="s">
        <v>1</v>
      </c>
      <c r="R77" s="3350" t="s">
        <v>1432</v>
      </c>
      <c r="S77" s="3350"/>
      <c r="T77" s="3351" t="s">
        <v>1489</v>
      </c>
      <c r="U77" s="3352"/>
      <c r="V77" s="2542"/>
      <c r="W77" s="1754" t="s">
        <v>1431</v>
      </c>
      <c r="X77" s="2624" t="s">
        <v>1</v>
      </c>
      <c r="Y77" s="3350" t="s">
        <v>1432</v>
      </c>
      <c r="Z77" s="3350"/>
      <c r="AA77" s="3351" t="s">
        <v>1489</v>
      </c>
      <c r="AB77" s="3352"/>
      <c r="AC77" s="2510"/>
      <c r="AD77" s="1754" t="s">
        <v>1431</v>
      </c>
      <c r="AE77" s="2624" t="s">
        <v>1</v>
      </c>
      <c r="AF77" s="3350" t="s">
        <v>1432</v>
      </c>
      <c r="AG77" s="3350"/>
      <c r="AH77" s="3351" t="s">
        <v>1489</v>
      </c>
      <c r="AI77" s="3352"/>
      <c r="AJ77" s="2510"/>
      <c r="AK77" s="2004" t="s">
        <v>1431</v>
      </c>
      <c r="AL77" s="2624" t="s">
        <v>1</v>
      </c>
      <c r="AM77" s="3350" t="s">
        <v>1432</v>
      </c>
      <c r="AN77" s="3350"/>
      <c r="AO77" s="3351" t="s">
        <v>1489</v>
      </c>
      <c r="AP77" s="3352"/>
      <c r="AQ77" s="2510"/>
      <c r="AR77" s="1754" t="s">
        <v>1431</v>
      </c>
      <c r="AS77" s="2624" t="s">
        <v>1</v>
      </c>
      <c r="AT77" s="3350" t="s">
        <v>1432</v>
      </c>
      <c r="AU77" s="3350"/>
      <c r="AV77" s="3351" t="s">
        <v>1489</v>
      </c>
      <c r="AW77" s="3352"/>
      <c r="AY77" s="3353"/>
      <c r="AZ77" s="1043"/>
      <c r="BA77" s="1043"/>
      <c r="BB77" s="1043"/>
      <c r="BC77" s="1043"/>
      <c r="BD77" s="1043"/>
      <c r="BE77" s="1043"/>
      <c r="BF77" s="1043"/>
      <c r="BG77" s="1043"/>
      <c r="BH77" s="1043"/>
      <c r="BI77" s="1043"/>
      <c r="BJ77" s="1043"/>
      <c r="BK77" s="1043"/>
    </row>
    <row r="78" spans="1:63" ht="39.75" customHeight="1">
      <c r="A78" s="1827" t="s">
        <v>283</v>
      </c>
      <c r="B78" s="1828" t="s">
        <v>126</v>
      </c>
      <c r="C78" s="1865" t="s">
        <v>1475</v>
      </c>
      <c r="D78" s="1829" t="s">
        <v>4</v>
      </c>
      <c r="E78" s="1830" t="s">
        <v>1332</v>
      </c>
      <c r="F78" s="1894" t="s">
        <v>1315</v>
      </c>
      <c r="G78" s="2610">
        <v>50</v>
      </c>
      <c r="H78" s="2548">
        <f>XM.HN!B47</f>
        <v>7.4</v>
      </c>
      <c r="I78" s="1922">
        <f>H78*6.49</f>
        <v>48.026000000000003</v>
      </c>
      <c r="J78" s="2630">
        <f>($G$78-I78)*15517/1000</f>
        <v>30.630557999999947</v>
      </c>
      <c r="K78" s="1835" t="s">
        <v>8</v>
      </c>
      <c r="L78" s="1836">
        <f t="shared" ref="L78:L94" si="12">IF(I78=0,0,IF(J78&lt;0,0,J78))</f>
        <v>30.630557999999947</v>
      </c>
      <c r="M78" s="2034">
        <f>IF('3.XT-C TT'!AB6="","",'3.XT-C TT'!AB6)</f>
        <v>25</v>
      </c>
      <c r="N78" s="1838" t="s">
        <v>9</v>
      </c>
      <c r="O78" s="2511">
        <f>XM.HN!C47</f>
        <v>7.85</v>
      </c>
      <c r="P78" s="1922">
        <f>O78*6.49</f>
        <v>50.9465</v>
      </c>
      <c r="Q78" s="2460">
        <f>($G$78-P78)*15517/1000</f>
        <v>-14.686840500000006</v>
      </c>
      <c r="R78" s="1835" t="s">
        <v>8</v>
      </c>
      <c r="S78" s="1836">
        <f t="shared" ref="S78:S94" si="13">IF(P78=0,0,IF(Q78&lt;0,0,Q78))</f>
        <v>0</v>
      </c>
      <c r="T78" s="2034" t="str">
        <f>IF('3.XT-C TT'!AF6="","",'3.XT-C TT'!AF6)</f>
        <v/>
      </c>
      <c r="U78" s="1838" t="s">
        <v>9</v>
      </c>
      <c r="V78" s="2511">
        <f>XM.HN!D47</f>
        <v>7.9</v>
      </c>
      <c r="W78" s="1922">
        <f>V78*6.49</f>
        <v>51.271000000000001</v>
      </c>
      <c r="X78" s="2460">
        <f>($G$78-W78)*15517/1000</f>
        <v>-19.722107000000012</v>
      </c>
      <c r="Y78" s="1835" t="s">
        <v>8</v>
      </c>
      <c r="Z78" s="1836">
        <f t="shared" ref="Z78:Z94" si="14">IF(W78=0,0,IF(X78&lt;0,0,X78))</f>
        <v>0</v>
      </c>
      <c r="AA78" s="2034" t="str">
        <f>IF('3.XT-C TT'!AJ6="","",'3.XT-C TT'!AJ6)</f>
        <v/>
      </c>
      <c r="AB78" s="1838" t="s">
        <v>9</v>
      </c>
      <c r="AC78" s="2511">
        <f>XM.HN!E47</f>
        <v>0</v>
      </c>
      <c r="AD78" s="1922">
        <f>AC78*6.49</f>
        <v>0</v>
      </c>
      <c r="AE78" s="2460">
        <f>($G$78-AD78)*15517/1000</f>
        <v>775.85</v>
      </c>
      <c r="AF78" s="1835" t="s">
        <v>8</v>
      </c>
      <c r="AG78" s="1836">
        <f t="shared" ref="AG78:AG94" si="15">IF(AD78=0,0,IF(AE78&lt;0,0,AE78))</f>
        <v>0</v>
      </c>
      <c r="AH78" s="2034" t="str">
        <f>IF('3.XT-C TT(CA2)'!AB6="","",'3.XT-C TT(CA2)'!AB6)</f>
        <v/>
      </c>
      <c r="AI78" s="1838" t="s">
        <v>9</v>
      </c>
      <c r="AJ78" s="2511">
        <f>XM.HN!F47</f>
        <v>0</v>
      </c>
      <c r="AK78" s="2000">
        <f>AJ78*6.49</f>
        <v>0</v>
      </c>
      <c r="AL78" s="2648">
        <f>($G$78-AK78)*15517/1000</f>
        <v>775.85</v>
      </c>
      <c r="AM78" s="2001" t="s">
        <v>8</v>
      </c>
      <c r="AN78" s="2002">
        <f t="shared" ref="AN78:AN94" si="16">IF(AK78=0,0,IF(AL78&lt;0,0,AL78))</f>
        <v>0</v>
      </c>
      <c r="AO78" s="2034" t="str">
        <f>IF('3.XT-C TT(CA2)'!AF6="","",'3.XT-C TT(CA2)'!AF6)</f>
        <v/>
      </c>
      <c r="AP78" s="2003" t="s">
        <v>9</v>
      </c>
      <c r="AQ78" s="2511">
        <f>XM.HN!G47</f>
        <v>0</v>
      </c>
      <c r="AR78" s="1922">
        <f>AQ78*6.49</f>
        <v>0</v>
      </c>
      <c r="AS78" s="2460">
        <f>($G$78-AR78)*15517/1000</f>
        <v>775.85</v>
      </c>
      <c r="AT78" s="1835" t="s">
        <v>8</v>
      </c>
      <c r="AU78" s="1836">
        <f t="shared" ref="AU78:AU94" si="17">IF(AR78=0,0,IF(AS78&lt;0,0,AS78))</f>
        <v>0</v>
      </c>
      <c r="AV78" s="2034" t="str">
        <f>IF('3.XT-C TT(CA2)'!AJ6="","",'3.XT-C TT(CA2)'!AJ6)</f>
        <v/>
      </c>
      <c r="AW78" s="1838" t="s">
        <v>9</v>
      </c>
      <c r="AY78" s="3345"/>
      <c r="AZ78" s="1043"/>
      <c r="BA78" s="1043"/>
      <c r="BB78" s="1043"/>
      <c r="BC78" s="1043"/>
      <c r="BD78" s="1043"/>
      <c r="BE78" s="1043"/>
      <c r="BF78" s="1043"/>
      <c r="BG78" s="1043"/>
      <c r="BH78" s="1043"/>
      <c r="BI78" s="1043"/>
      <c r="BJ78" s="1043"/>
      <c r="BK78" s="1043"/>
    </row>
    <row r="79" spans="1:63" ht="39.75" customHeight="1">
      <c r="A79" s="1850"/>
      <c r="B79" s="1851"/>
      <c r="C79" s="1864" t="s">
        <v>230</v>
      </c>
      <c r="D79" s="1853"/>
      <c r="E79" s="1854" t="s">
        <v>1479</v>
      </c>
      <c r="F79" s="1895"/>
      <c r="G79" s="2611"/>
      <c r="H79" s="2549"/>
      <c r="I79" s="1875"/>
      <c r="J79" s="2631"/>
      <c r="K79" s="1858" t="s">
        <v>8</v>
      </c>
      <c r="L79" s="1862">
        <f>L78/25*8.5</f>
        <v>10.414389719999981</v>
      </c>
      <c r="M79" s="2036">
        <f>IF('3.XT-C TT'!AB7="","",'3.XT-C TT'!AB7)</f>
        <v>9</v>
      </c>
      <c r="N79" s="1860" t="s">
        <v>10</v>
      </c>
      <c r="O79" s="2513"/>
      <c r="P79" s="1875"/>
      <c r="Q79" s="2462"/>
      <c r="R79" s="1858" t="s">
        <v>8</v>
      </c>
      <c r="S79" s="1862">
        <f>S78/25*8.5</f>
        <v>0</v>
      </c>
      <c r="T79" s="2036" t="str">
        <f>IF('3.XT-C TT'!AF7="","",'3.XT-C TT'!AF7)</f>
        <v/>
      </c>
      <c r="U79" s="1860" t="s">
        <v>10</v>
      </c>
      <c r="V79" s="2513"/>
      <c r="W79" s="1875"/>
      <c r="X79" s="2462"/>
      <c r="Y79" s="1858" t="s">
        <v>8</v>
      </c>
      <c r="Z79" s="1862">
        <f>Z78/25*8.5</f>
        <v>0</v>
      </c>
      <c r="AA79" s="2036" t="str">
        <f>IF('3.XT-C TT'!AJ7="","",'3.XT-C TT'!AJ7)</f>
        <v/>
      </c>
      <c r="AB79" s="1860" t="s">
        <v>10</v>
      </c>
      <c r="AC79" s="2513"/>
      <c r="AD79" s="1875"/>
      <c r="AE79" s="2462"/>
      <c r="AF79" s="1858" t="s">
        <v>8</v>
      </c>
      <c r="AG79" s="1862">
        <f>AG78/25*8.5</f>
        <v>0</v>
      </c>
      <c r="AH79" s="2036" t="str">
        <f>IF('3.XT-C TT(CA2)'!AB7="","",'3.XT-C TT(CA2)'!AB7)</f>
        <v/>
      </c>
      <c r="AI79" s="1860" t="s">
        <v>10</v>
      </c>
      <c r="AJ79" s="2513"/>
      <c r="AK79" s="1875"/>
      <c r="AL79" s="2462"/>
      <c r="AM79" s="1858" t="s">
        <v>8</v>
      </c>
      <c r="AN79" s="1862">
        <f>AN78/25*8.5</f>
        <v>0</v>
      </c>
      <c r="AO79" s="2036" t="str">
        <f>IF('3.XT-C TT(CA2)'!AF7="","",'3.XT-C TT(CA2)'!AF7)</f>
        <v/>
      </c>
      <c r="AP79" s="1860" t="s">
        <v>10</v>
      </c>
      <c r="AQ79" s="2513"/>
      <c r="AR79" s="1875"/>
      <c r="AS79" s="2462"/>
      <c r="AT79" s="1858" t="s">
        <v>8</v>
      </c>
      <c r="AU79" s="1862">
        <f>AU78/25*8.5</f>
        <v>0</v>
      </c>
      <c r="AV79" s="2036" t="str">
        <f>IF('3.XT-C TT(CA2)'!AJ7="","",'3.XT-C TT(CA2)'!AJ7)</f>
        <v/>
      </c>
      <c r="AW79" s="1860" t="s">
        <v>10</v>
      </c>
      <c r="AY79" s="3346"/>
      <c r="AZ79" s="1043"/>
      <c r="BA79" s="1043"/>
      <c r="BB79" s="1043"/>
      <c r="BC79" s="1043"/>
      <c r="BD79" s="1043"/>
      <c r="BE79" s="1043"/>
      <c r="BF79" s="1043"/>
      <c r="BG79" s="1043"/>
      <c r="BH79" s="1043"/>
      <c r="BI79" s="1043"/>
      <c r="BJ79" s="1043"/>
      <c r="BK79" s="1043"/>
    </row>
    <row r="80" spans="1:63" ht="39.75" customHeight="1">
      <c r="A80" s="1827" t="s">
        <v>284</v>
      </c>
      <c r="B80" s="1828" t="s">
        <v>126</v>
      </c>
      <c r="C80" s="1865" t="s">
        <v>1476</v>
      </c>
      <c r="D80" s="1829" t="s">
        <v>4</v>
      </c>
      <c r="E80" s="1830" t="s">
        <v>1332</v>
      </c>
      <c r="F80" s="1894" t="s">
        <v>1315</v>
      </c>
      <c r="G80" s="2610">
        <v>50</v>
      </c>
      <c r="H80" s="2548">
        <f>XM.HN!B49</f>
        <v>7.65</v>
      </c>
      <c r="I80" s="1922">
        <f>H80*6.49</f>
        <v>49.648500000000006</v>
      </c>
      <c r="J80" s="2630">
        <f>($G$80-I80)*11475/1000</f>
        <v>4.0334624999999358</v>
      </c>
      <c r="K80" s="1835" t="s">
        <v>8</v>
      </c>
      <c r="L80" s="1836">
        <f t="shared" si="12"/>
        <v>4.0334624999999358</v>
      </c>
      <c r="M80" s="2034" t="str">
        <f>IF('3.XT-C TT'!AB8="","",'3.XT-C TT'!AB8)</f>
        <v/>
      </c>
      <c r="N80" s="1838" t="s">
        <v>9</v>
      </c>
      <c r="O80" s="2511">
        <f>XM.HN!C49</f>
        <v>7.75</v>
      </c>
      <c r="P80" s="1922">
        <f>O80*6.49</f>
        <v>50.297499999999999</v>
      </c>
      <c r="Q80" s="2460">
        <f>($G$80-P80)*11475/1000</f>
        <v>-3.4138124999999935</v>
      </c>
      <c r="R80" s="1835" t="s">
        <v>8</v>
      </c>
      <c r="S80" s="1836">
        <f t="shared" si="13"/>
        <v>0</v>
      </c>
      <c r="T80" s="2034" t="str">
        <f>IF('3.XT-C TT'!AF8="","",'3.XT-C TT'!AF8)</f>
        <v/>
      </c>
      <c r="U80" s="1838" t="s">
        <v>9</v>
      </c>
      <c r="V80" s="2511">
        <f>XM.HN!D49</f>
        <v>7.75</v>
      </c>
      <c r="W80" s="1922">
        <f>V80*6.49</f>
        <v>50.297499999999999</v>
      </c>
      <c r="X80" s="2460">
        <f>($G$80-W80)*11475/1000</f>
        <v>-3.4138124999999935</v>
      </c>
      <c r="Y80" s="1835" t="s">
        <v>8</v>
      </c>
      <c r="Z80" s="1836">
        <f t="shared" si="14"/>
        <v>0</v>
      </c>
      <c r="AA80" s="2034" t="str">
        <f>IF('3.XT-C TT'!AJ8="","",'3.XT-C TT'!AJ8)</f>
        <v/>
      </c>
      <c r="AB80" s="1838" t="s">
        <v>9</v>
      </c>
      <c r="AC80" s="2511">
        <f>XM.HN!E49</f>
        <v>0</v>
      </c>
      <c r="AD80" s="1922">
        <f>AC80*6.49</f>
        <v>0</v>
      </c>
      <c r="AE80" s="2460">
        <f>($G$80-AD80)*11475/1000</f>
        <v>573.75</v>
      </c>
      <c r="AF80" s="1835" t="s">
        <v>8</v>
      </c>
      <c r="AG80" s="1836">
        <f t="shared" si="15"/>
        <v>0</v>
      </c>
      <c r="AH80" s="2034" t="str">
        <f>IF('3.XT-C TT(CA2)'!AB8="","",'3.XT-C TT(CA2)'!AB8)</f>
        <v/>
      </c>
      <c r="AI80" s="1838" t="s">
        <v>9</v>
      </c>
      <c r="AJ80" s="2511">
        <f>XM.HN!F49</f>
        <v>0</v>
      </c>
      <c r="AK80" s="1922">
        <f>AJ80*6.49</f>
        <v>0</v>
      </c>
      <c r="AL80" s="2460">
        <f>($G$80-AK80)*11475/1000</f>
        <v>573.75</v>
      </c>
      <c r="AM80" s="1835" t="s">
        <v>8</v>
      </c>
      <c r="AN80" s="1836">
        <f t="shared" si="16"/>
        <v>0</v>
      </c>
      <c r="AO80" s="2034" t="str">
        <f>IF('3.XT-C TT(CA2)'!AF8="","",'3.XT-C TT(CA2)'!AF8)</f>
        <v/>
      </c>
      <c r="AP80" s="1838" t="s">
        <v>9</v>
      </c>
      <c r="AQ80" s="2511">
        <f>XM.HN!G49</f>
        <v>0</v>
      </c>
      <c r="AR80" s="1922">
        <f>AQ80*6.49</f>
        <v>0</v>
      </c>
      <c r="AS80" s="2460">
        <f>($G$80-AR80)*11475/1000</f>
        <v>573.75</v>
      </c>
      <c r="AT80" s="1835" t="s">
        <v>8</v>
      </c>
      <c r="AU80" s="1836">
        <f t="shared" si="17"/>
        <v>0</v>
      </c>
      <c r="AV80" s="2034" t="str">
        <f>IF('3.XT-C TT(CA2)'!AJ8="","",'3.XT-C TT(CA2)'!AJ8)</f>
        <v/>
      </c>
      <c r="AW80" s="1838" t="s">
        <v>9</v>
      </c>
      <c r="AY80" s="3345"/>
      <c r="AZ80" s="1043"/>
      <c r="BA80" s="1043"/>
      <c r="BB80" s="1043"/>
      <c r="BC80" s="1043"/>
      <c r="BD80" s="1043"/>
      <c r="BE80" s="1043"/>
      <c r="BF80" s="1043"/>
      <c r="BG80" s="1043"/>
      <c r="BH80" s="1043"/>
      <c r="BI80" s="1043"/>
      <c r="BJ80" s="1043"/>
      <c r="BK80" s="1043"/>
    </row>
    <row r="81" spans="1:63" ht="39.75" customHeight="1">
      <c r="A81" s="1850"/>
      <c r="B81" s="1851"/>
      <c r="C81" s="1864" t="s">
        <v>230</v>
      </c>
      <c r="D81" s="1853"/>
      <c r="E81" s="1854" t="s">
        <v>1479</v>
      </c>
      <c r="F81" s="1895"/>
      <c r="G81" s="2611"/>
      <c r="H81" s="2549"/>
      <c r="I81" s="1875"/>
      <c r="J81" s="2631"/>
      <c r="K81" s="1858" t="s">
        <v>8</v>
      </c>
      <c r="L81" s="1862">
        <f>L80/25*8.5</f>
        <v>1.3713772499999783</v>
      </c>
      <c r="M81" s="2036" t="str">
        <f>IF('3.XT-C TT'!AB9="","",'3.XT-C TT'!AB9)</f>
        <v/>
      </c>
      <c r="N81" s="1860" t="s">
        <v>10</v>
      </c>
      <c r="O81" s="2513"/>
      <c r="P81" s="1875"/>
      <c r="Q81" s="2462"/>
      <c r="R81" s="1858" t="s">
        <v>8</v>
      </c>
      <c r="S81" s="1862">
        <f>S80/25*8.5</f>
        <v>0</v>
      </c>
      <c r="T81" s="2036" t="str">
        <f>IF('3.XT-C TT'!AF9="","",'3.XT-C TT'!AF9)</f>
        <v/>
      </c>
      <c r="U81" s="1860" t="s">
        <v>10</v>
      </c>
      <c r="V81" s="2513"/>
      <c r="W81" s="1875"/>
      <c r="X81" s="2462"/>
      <c r="Y81" s="1858" t="s">
        <v>8</v>
      </c>
      <c r="Z81" s="1862">
        <f>Z80/25*8.5</f>
        <v>0</v>
      </c>
      <c r="AA81" s="2036" t="str">
        <f>IF('3.XT-C TT'!AJ9="","",'3.XT-C TT'!AJ9)</f>
        <v/>
      </c>
      <c r="AB81" s="1860" t="s">
        <v>10</v>
      </c>
      <c r="AC81" s="2513"/>
      <c r="AD81" s="1875"/>
      <c r="AE81" s="2462"/>
      <c r="AF81" s="1858" t="s">
        <v>8</v>
      </c>
      <c r="AG81" s="1862">
        <f>AG80/25*8.5</f>
        <v>0</v>
      </c>
      <c r="AH81" s="2036" t="str">
        <f>IF('3.XT-C TT(CA2)'!AB9="","",'3.XT-C TT(CA2)'!AB9)</f>
        <v/>
      </c>
      <c r="AI81" s="1860" t="s">
        <v>10</v>
      </c>
      <c r="AJ81" s="2513"/>
      <c r="AK81" s="1875"/>
      <c r="AL81" s="2462"/>
      <c r="AM81" s="1858" t="s">
        <v>8</v>
      </c>
      <c r="AN81" s="1862">
        <f>AN80/25*8.5</f>
        <v>0</v>
      </c>
      <c r="AO81" s="2036" t="str">
        <f>IF('3.XT-C TT(CA2)'!AF9="","",'3.XT-C TT(CA2)'!AF9)</f>
        <v/>
      </c>
      <c r="AP81" s="1860" t="s">
        <v>10</v>
      </c>
      <c r="AQ81" s="2513"/>
      <c r="AR81" s="1875"/>
      <c r="AS81" s="2462"/>
      <c r="AT81" s="1858" t="s">
        <v>8</v>
      </c>
      <c r="AU81" s="1862">
        <f>AU80/25*8.5</f>
        <v>0</v>
      </c>
      <c r="AV81" s="2036" t="str">
        <f>IF('3.XT-C TT(CA2)'!AJ9="","",'3.XT-C TT(CA2)'!AJ9)</f>
        <v/>
      </c>
      <c r="AW81" s="1860" t="s">
        <v>10</v>
      </c>
      <c r="AY81" s="3346"/>
      <c r="AZ81" s="1043"/>
      <c r="BA81" s="1043"/>
      <c r="BB81" s="1043"/>
      <c r="BC81" s="1043"/>
      <c r="BD81" s="1043"/>
      <c r="BE81" s="1043"/>
      <c r="BF81" s="1043"/>
      <c r="BG81" s="1043"/>
      <c r="BH81" s="1043"/>
      <c r="BI81" s="1043"/>
      <c r="BJ81" s="1043"/>
      <c r="BK81" s="1043"/>
    </row>
    <row r="82" spans="1:63" ht="39.75" customHeight="1">
      <c r="A82" s="1827" t="s">
        <v>285</v>
      </c>
      <c r="B82" s="1828" t="s">
        <v>126</v>
      </c>
      <c r="C82" s="1865" t="s">
        <v>1477</v>
      </c>
      <c r="D82" s="1829" t="s">
        <v>4</v>
      </c>
      <c r="E82" s="1830" t="s">
        <v>1328</v>
      </c>
      <c r="F82" s="1894" t="s">
        <v>1309</v>
      </c>
      <c r="G82" s="2610">
        <v>60</v>
      </c>
      <c r="H82" s="2548">
        <f>XM.HN!B51</f>
        <v>13.3</v>
      </c>
      <c r="I82" s="1922">
        <f>H82*4.62</f>
        <v>61.446000000000005</v>
      </c>
      <c r="J82" s="2630">
        <f>($G$82-I82)*8200/1000</f>
        <v>-11.857200000000041</v>
      </c>
      <c r="K82" s="1835" t="s">
        <v>8</v>
      </c>
      <c r="L82" s="1836">
        <f t="shared" si="12"/>
        <v>0</v>
      </c>
      <c r="M82" s="2034">
        <f>IF('3.XT-C TT'!AB10="","",'3.XT-C TT'!AB10)</f>
        <v>3</v>
      </c>
      <c r="N82" s="1838" t="s">
        <v>9</v>
      </c>
      <c r="O82" s="2511">
        <f>XM.HN!C51</f>
        <v>13.4</v>
      </c>
      <c r="P82" s="1922">
        <f>O82*4.62</f>
        <v>61.908000000000001</v>
      </c>
      <c r="Q82" s="2460">
        <f>($G$82-P82)*8200/1000</f>
        <v>-15.645600000000009</v>
      </c>
      <c r="R82" s="1835" t="s">
        <v>8</v>
      </c>
      <c r="S82" s="1836">
        <f t="shared" si="13"/>
        <v>0</v>
      </c>
      <c r="T82" s="2034" t="str">
        <f>IF('3.XT-C TT'!AF10="","",'3.XT-C TT'!AF10)</f>
        <v/>
      </c>
      <c r="U82" s="1838" t="s">
        <v>9</v>
      </c>
      <c r="V82" s="2511">
        <f>XM.HN!D51</f>
        <v>13.5</v>
      </c>
      <c r="W82" s="1922">
        <f>V82*4.62</f>
        <v>62.370000000000005</v>
      </c>
      <c r="X82" s="2460">
        <f>($G$82-W82)*8200/1000</f>
        <v>-19.434000000000037</v>
      </c>
      <c r="Y82" s="1835" t="s">
        <v>8</v>
      </c>
      <c r="Z82" s="1836">
        <f t="shared" si="14"/>
        <v>0</v>
      </c>
      <c r="AA82" s="2034" t="str">
        <f>IF('3.XT-C TT'!AJ10="","",'3.XT-C TT'!AJ10)</f>
        <v/>
      </c>
      <c r="AB82" s="1838" t="s">
        <v>9</v>
      </c>
      <c r="AC82" s="2511">
        <f>XM.HN!E51</f>
        <v>0</v>
      </c>
      <c r="AD82" s="1922">
        <f>AC82*4.62</f>
        <v>0</v>
      </c>
      <c r="AE82" s="2460">
        <f>($G$82-AD82)*8200/1000</f>
        <v>492</v>
      </c>
      <c r="AF82" s="1835" t="s">
        <v>8</v>
      </c>
      <c r="AG82" s="1836">
        <f t="shared" si="15"/>
        <v>0</v>
      </c>
      <c r="AH82" s="2034" t="str">
        <f>IF('3.XT-C TT(CA2)'!AB10="","",'3.XT-C TT(CA2)'!AB10)</f>
        <v/>
      </c>
      <c r="AI82" s="1838" t="s">
        <v>9</v>
      </c>
      <c r="AJ82" s="2511">
        <f>XM.HN!F51</f>
        <v>0</v>
      </c>
      <c r="AK82" s="1922">
        <f>AJ82*4.62</f>
        <v>0</v>
      </c>
      <c r="AL82" s="2460">
        <f>($G$82-AK82)*8200/1000</f>
        <v>492</v>
      </c>
      <c r="AM82" s="1835" t="s">
        <v>8</v>
      </c>
      <c r="AN82" s="1836">
        <f t="shared" si="16"/>
        <v>0</v>
      </c>
      <c r="AO82" s="2034" t="str">
        <f>IF('3.XT-C TT(CA2)'!AF10="","",'3.XT-C TT(CA2)'!AF10)</f>
        <v/>
      </c>
      <c r="AP82" s="1838" t="s">
        <v>9</v>
      </c>
      <c r="AQ82" s="2511">
        <f>XM.HN!G51</f>
        <v>0</v>
      </c>
      <c r="AR82" s="1922">
        <f>AQ82*4.62</f>
        <v>0</v>
      </c>
      <c r="AS82" s="2460">
        <f>($G$82-AR82)*8200/1000</f>
        <v>492</v>
      </c>
      <c r="AT82" s="1835" t="s">
        <v>8</v>
      </c>
      <c r="AU82" s="1836">
        <f t="shared" si="17"/>
        <v>0</v>
      </c>
      <c r="AV82" s="2034" t="str">
        <f>IF('3.XT-C TT(CA2)'!AJ10="","",'3.XT-C TT(CA2)'!AJ10)</f>
        <v/>
      </c>
      <c r="AW82" s="1838" t="s">
        <v>9</v>
      </c>
      <c r="AY82" s="3345"/>
      <c r="AZ82" s="1043"/>
      <c r="BA82" s="1043"/>
      <c r="BB82" s="1043"/>
      <c r="BC82" s="1043"/>
      <c r="BD82" s="1043"/>
      <c r="BE82" s="1043"/>
      <c r="BF82" s="1043"/>
      <c r="BG82" s="1043"/>
      <c r="BH82" s="1043"/>
      <c r="BI82" s="1043"/>
      <c r="BJ82" s="1043"/>
      <c r="BK82" s="1043"/>
    </row>
    <row r="83" spans="1:63" ht="39.75" customHeight="1">
      <c r="A83" s="1850"/>
      <c r="B83" s="1851"/>
      <c r="C83" s="1864" t="s">
        <v>232</v>
      </c>
      <c r="D83" s="1853"/>
      <c r="E83" s="1854" t="s">
        <v>1482</v>
      </c>
      <c r="F83" s="1895"/>
      <c r="G83" s="2611"/>
      <c r="H83" s="2549"/>
      <c r="I83" s="1875"/>
      <c r="J83" s="2631"/>
      <c r="K83" s="1858" t="s">
        <v>8</v>
      </c>
      <c r="L83" s="1862">
        <f>L82/25*8</f>
        <v>0</v>
      </c>
      <c r="M83" s="2036">
        <f>IF('3.XT-C TT'!AB11="","",'3.XT-C TT'!AB11)</f>
        <v>1</v>
      </c>
      <c r="N83" s="1860" t="s">
        <v>10</v>
      </c>
      <c r="O83" s="2513"/>
      <c r="P83" s="1875"/>
      <c r="Q83" s="2462"/>
      <c r="R83" s="1858" t="s">
        <v>8</v>
      </c>
      <c r="S83" s="1862">
        <f>S82/25*8</f>
        <v>0</v>
      </c>
      <c r="T83" s="2036" t="str">
        <f>IF('3.XT-C TT'!AF11="","",'3.XT-C TT'!AF11)</f>
        <v/>
      </c>
      <c r="U83" s="1860" t="s">
        <v>10</v>
      </c>
      <c r="V83" s="2513"/>
      <c r="W83" s="1875"/>
      <c r="X83" s="2462"/>
      <c r="Y83" s="1858" t="s">
        <v>8</v>
      </c>
      <c r="Z83" s="1862">
        <f>Z82/25*8</f>
        <v>0</v>
      </c>
      <c r="AA83" s="2036" t="str">
        <f>IF('3.XT-C TT'!AJ11="","",'3.XT-C TT'!AJ11)</f>
        <v/>
      </c>
      <c r="AB83" s="1860" t="s">
        <v>10</v>
      </c>
      <c r="AC83" s="2513"/>
      <c r="AD83" s="1875"/>
      <c r="AE83" s="2462"/>
      <c r="AF83" s="1858" t="s">
        <v>8</v>
      </c>
      <c r="AG83" s="1862">
        <f>AG82/25*8</f>
        <v>0</v>
      </c>
      <c r="AH83" s="2036" t="str">
        <f>IF('3.XT-C TT(CA2)'!AB11="","",'3.XT-C TT(CA2)'!AB11)</f>
        <v/>
      </c>
      <c r="AI83" s="1860" t="s">
        <v>10</v>
      </c>
      <c r="AJ83" s="2513"/>
      <c r="AK83" s="1875"/>
      <c r="AL83" s="2462"/>
      <c r="AM83" s="1858" t="s">
        <v>8</v>
      </c>
      <c r="AN83" s="1862">
        <f>AN82/25*8</f>
        <v>0</v>
      </c>
      <c r="AO83" s="2036" t="str">
        <f>IF('3.XT-C TT(CA2)'!AF11="","",'3.XT-C TT(CA2)'!AF11)</f>
        <v/>
      </c>
      <c r="AP83" s="1860" t="s">
        <v>10</v>
      </c>
      <c r="AQ83" s="2513"/>
      <c r="AR83" s="1875"/>
      <c r="AS83" s="2462"/>
      <c r="AT83" s="1858" t="s">
        <v>8</v>
      </c>
      <c r="AU83" s="1862">
        <f>AU82/25*8</f>
        <v>0</v>
      </c>
      <c r="AV83" s="2036" t="str">
        <f>IF('3.XT-C TT(CA2)'!AJ11="","",'3.XT-C TT(CA2)'!AJ11)</f>
        <v/>
      </c>
      <c r="AW83" s="1860" t="s">
        <v>10</v>
      </c>
      <c r="AY83" s="3346"/>
      <c r="AZ83" s="1043"/>
      <c r="BA83" s="1043"/>
      <c r="BB83" s="1043"/>
      <c r="BC83" s="1043"/>
      <c r="BD83" s="1043"/>
      <c r="BE83" s="1043"/>
      <c r="BF83" s="1043"/>
      <c r="BG83" s="1043"/>
      <c r="BH83" s="1043"/>
      <c r="BI83" s="1043"/>
      <c r="BJ83" s="1043"/>
      <c r="BK83" s="1043"/>
    </row>
    <row r="84" spans="1:63" ht="39.75" customHeight="1">
      <c r="A84" s="1827" t="s">
        <v>286</v>
      </c>
      <c r="B84" s="1828" t="s">
        <v>126</v>
      </c>
      <c r="C84" s="1865" t="s">
        <v>1478</v>
      </c>
      <c r="D84" s="1829" t="s">
        <v>4</v>
      </c>
      <c r="E84" s="1830" t="s">
        <v>1328</v>
      </c>
      <c r="F84" s="1894" t="s">
        <v>1309</v>
      </c>
      <c r="G84" s="2610">
        <v>60</v>
      </c>
      <c r="H84" s="2548">
        <f>XM.HN!B53</f>
        <v>12.9</v>
      </c>
      <c r="I84" s="1922">
        <f>H84*4.62</f>
        <v>59.598000000000006</v>
      </c>
      <c r="J84" s="2630">
        <f>($G$84-I84)*8668/1000</f>
        <v>3.4845359999999475</v>
      </c>
      <c r="K84" s="1835" t="s">
        <v>8</v>
      </c>
      <c r="L84" s="1836">
        <f t="shared" si="12"/>
        <v>3.4845359999999475</v>
      </c>
      <c r="M84" s="2034" t="str">
        <f>IF('3.XT-C TT'!AB12="","",'3.XT-C TT'!AB12)</f>
        <v/>
      </c>
      <c r="N84" s="1838" t="s">
        <v>9</v>
      </c>
      <c r="O84" s="2511">
        <f>XM.HN!C53</f>
        <v>13.15</v>
      </c>
      <c r="P84" s="1922">
        <f>O84*4.62</f>
        <v>60.753</v>
      </c>
      <c r="Q84" s="2460">
        <f>($G$84-P84)*8668/1000</f>
        <v>-6.5270040000000007</v>
      </c>
      <c r="R84" s="1835" t="s">
        <v>8</v>
      </c>
      <c r="S84" s="1836">
        <f t="shared" si="13"/>
        <v>0</v>
      </c>
      <c r="T84" s="2034" t="str">
        <f>IF('3.XT-C TT'!AF12="","",'3.XT-C TT'!AF12)</f>
        <v/>
      </c>
      <c r="U84" s="1838" t="s">
        <v>9</v>
      </c>
      <c r="V84" s="2511">
        <f>XM.HN!D53</f>
        <v>13.25</v>
      </c>
      <c r="W84" s="1922">
        <f>V84*4.62</f>
        <v>61.215000000000003</v>
      </c>
      <c r="X84" s="2460">
        <f>($G$84-W84)*8668/1000</f>
        <v>-10.53162000000003</v>
      </c>
      <c r="Y84" s="1835" t="s">
        <v>8</v>
      </c>
      <c r="Z84" s="1836">
        <f t="shared" si="14"/>
        <v>0</v>
      </c>
      <c r="AA84" s="2034" t="str">
        <f>IF('3.XT-C TT'!AJ12="","",'3.XT-C TT'!AJ12)</f>
        <v/>
      </c>
      <c r="AB84" s="1838" t="s">
        <v>9</v>
      </c>
      <c r="AC84" s="2511">
        <f>XM.HN!E53</f>
        <v>0</v>
      </c>
      <c r="AD84" s="1922">
        <f>AC84*4.62</f>
        <v>0</v>
      </c>
      <c r="AE84" s="2460">
        <f>($G$84-AD84)*8668/1000</f>
        <v>520.08000000000004</v>
      </c>
      <c r="AF84" s="1835" t="s">
        <v>8</v>
      </c>
      <c r="AG84" s="1836">
        <f t="shared" si="15"/>
        <v>0</v>
      </c>
      <c r="AH84" s="2034" t="str">
        <f>IF('3.XT-C TT(CA2)'!AB12="","",'3.XT-C TT(CA2)'!AB12)</f>
        <v/>
      </c>
      <c r="AI84" s="1838" t="s">
        <v>9</v>
      </c>
      <c r="AJ84" s="2511">
        <f>XM.HN!F53</f>
        <v>0</v>
      </c>
      <c r="AK84" s="1922">
        <f>AJ84*4.62</f>
        <v>0</v>
      </c>
      <c r="AL84" s="2460">
        <f>($G$84-AK84)*8668/1000</f>
        <v>520.08000000000004</v>
      </c>
      <c r="AM84" s="1835" t="s">
        <v>8</v>
      </c>
      <c r="AN84" s="1836">
        <f t="shared" si="16"/>
        <v>0</v>
      </c>
      <c r="AO84" s="2034" t="str">
        <f>IF('3.XT-C TT(CA2)'!AF12="","",'3.XT-C TT(CA2)'!AF12)</f>
        <v/>
      </c>
      <c r="AP84" s="1838" t="s">
        <v>9</v>
      </c>
      <c r="AQ84" s="2511">
        <f>XM.HN!G53</f>
        <v>0</v>
      </c>
      <c r="AR84" s="1922">
        <f>AQ84*4.62</f>
        <v>0</v>
      </c>
      <c r="AS84" s="2460">
        <f>($G$84-AR84)*8668/1000</f>
        <v>520.08000000000004</v>
      </c>
      <c r="AT84" s="1835" t="s">
        <v>8</v>
      </c>
      <c r="AU84" s="1836">
        <f t="shared" si="17"/>
        <v>0</v>
      </c>
      <c r="AV84" s="2034" t="str">
        <f>IF('3.XT-C TT(CA2)'!AJ12="","",'3.XT-C TT(CA2)'!AJ12)</f>
        <v/>
      </c>
      <c r="AW84" s="1838" t="s">
        <v>9</v>
      </c>
      <c r="AY84" s="3345"/>
      <c r="AZ84" s="1043"/>
      <c r="BA84" s="1043"/>
      <c r="BB84" s="1043"/>
      <c r="BC84" s="1043"/>
      <c r="BD84" s="1043"/>
      <c r="BE84" s="1043"/>
      <c r="BF84" s="1043"/>
      <c r="BG84" s="1043"/>
      <c r="BH84" s="1043"/>
      <c r="BI84" s="1043"/>
      <c r="BJ84" s="1043"/>
      <c r="BK84" s="1043"/>
    </row>
    <row r="85" spans="1:63" ht="39.75" customHeight="1">
      <c r="A85" s="1850"/>
      <c r="B85" s="1851"/>
      <c r="C85" s="1864" t="s">
        <v>232</v>
      </c>
      <c r="D85" s="1853"/>
      <c r="E85" s="1854" t="s">
        <v>1261</v>
      </c>
      <c r="F85" s="1895"/>
      <c r="G85" s="2611"/>
      <c r="H85" s="2549"/>
      <c r="I85" s="1875"/>
      <c r="J85" s="2631"/>
      <c r="K85" s="1858" t="s">
        <v>8</v>
      </c>
      <c r="L85" s="1862">
        <f>L84/25*8</f>
        <v>1.1150515199999831</v>
      </c>
      <c r="M85" s="2036" t="str">
        <f>IF('3.XT-C TT'!AB13="","",'3.XT-C TT'!AB13)</f>
        <v/>
      </c>
      <c r="N85" s="1860" t="s">
        <v>10</v>
      </c>
      <c r="O85" s="2513"/>
      <c r="P85" s="1875"/>
      <c r="Q85" s="2462"/>
      <c r="R85" s="1858" t="s">
        <v>8</v>
      </c>
      <c r="S85" s="1862">
        <f>S84/25*8</f>
        <v>0</v>
      </c>
      <c r="T85" s="2036" t="str">
        <f>IF('3.XT-C TT'!AF13="","",'3.XT-C TT'!AF13)</f>
        <v/>
      </c>
      <c r="U85" s="1860" t="s">
        <v>10</v>
      </c>
      <c r="V85" s="2513"/>
      <c r="W85" s="1875"/>
      <c r="X85" s="2462"/>
      <c r="Y85" s="1858" t="s">
        <v>8</v>
      </c>
      <c r="Z85" s="1862">
        <f>Z84/25*8</f>
        <v>0</v>
      </c>
      <c r="AA85" s="2036" t="str">
        <f>IF('3.XT-C TT'!AJ13="","",'3.XT-C TT'!AJ13)</f>
        <v/>
      </c>
      <c r="AB85" s="1860" t="s">
        <v>10</v>
      </c>
      <c r="AC85" s="2513"/>
      <c r="AD85" s="1875"/>
      <c r="AE85" s="2462"/>
      <c r="AF85" s="1858" t="s">
        <v>8</v>
      </c>
      <c r="AG85" s="1862">
        <f>AG84/25*8</f>
        <v>0</v>
      </c>
      <c r="AH85" s="2036" t="str">
        <f>IF('3.XT-C TT(CA2)'!AB13="","",'3.XT-C TT(CA2)'!AB13)</f>
        <v/>
      </c>
      <c r="AI85" s="1860" t="s">
        <v>10</v>
      </c>
      <c r="AJ85" s="2513"/>
      <c r="AK85" s="1875"/>
      <c r="AL85" s="2462"/>
      <c r="AM85" s="1858" t="s">
        <v>8</v>
      </c>
      <c r="AN85" s="1862">
        <f>AN84/25*8</f>
        <v>0</v>
      </c>
      <c r="AO85" s="2036" t="str">
        <f>IF('3.XT-C TT(CA2)'!AF13="","",'3.XT-C TT(CA2)'!AF13)</f>
        <v/>
      </c>
      <c r="AP85" s="1860" t="s">
        <v>10</v>
      </c>
      <c r="AQ85" s="2513"/>
      <c r="AR85" s="1875"/>
      <c r="AS85" s="2462"/>
      <c r="AT85" s="1858" t="s">
        <v>8</v>
      </c>
      <c r="AU85" s="1862">
        <f>AU84/25*8</f>
        <v>0</v>
      </c>
      <c r="AV85" s="2036" t="str">
        <f>IF('3.XT-C TT(CA2)'!AJ13="","",'3.XT-C TT(CA2)'!AJ13)</f>
        <v/>
      </c>
      <c r="AW85" s="1860" t="s">
        <v>10</v>
      </c>
      <c r="AY85" s="3346"/>
      <c r="AZ85" s="1043"/>
      <c r="BA85" s="1043"/>
      <c r="BB85" s="1043"/>
      <c r="BC85" s="1043"/>
      <c r="BD85" s="1043"/>
      <c r="BE85" s="1043"/>
      <c r="BF85" s="1043"/>
      <c r="BG85" s="1043"/>
      <c r="BH85" s="1043"/>
      <c r="BI85" s="1043"/>
      <c r="BJ85" s="1043"/>
      <c r="BK85" s="1043"/>
    </row>
    <row r="86" spans="1:63" ht="39.75" customHeight="1">
      <c r="A86" s="1711" t="s">
        <v>287</v>
      </c>
      <c r="B86" s="1031" t="s">
        <v>126</v>
      </c>
      <c r="C86" s="101" t="s">
        <v>1665</v>
      </c>
      <c r="D86" s="1309" t="s">
        <v>4</v>
      </c>
      <c r="E86" s="45" t="s">
        <v>1333</v>
      </c>
      <c r="F86" s="1896" t="s">
        <v>1310</v>
      </c>
      <c r="G86" s="2612">
        <v>140</v>
      </c>
      <c r="H86" s="2517">
        <f>XM.HN!B55</f>
        <v>17.8</v>
      </c>
      <c r="I86" s="1745">
        <f>H86*8</f>
        <v>142.4</v>
      </c>
      <c r="J86" s="2465">
        <f>($G$86-I86)*53066/1000</f>
        <v>-127.3584000000003</v>
      </c>
      <c r="K86" s="1738" t="s">
        <v>8</v>
      </c>
      <c r="L86" s="1757">
        <f t="shared" si="12"/>
        <v>0</v>
      </c>
      <c r="M86" s="2037" t="str">
        <f>IF('3.XT-C TT'!AB14="","",'3.XT-C TT'!AB14)</f>
        <v/>
      </c>
      <c r="N86" s="1740" t="s">
        <v>9</v>
      </c>
      <c r="O86" s="2517">
        <f>XM.HN!C55</f>
        <v>17.899999999999999</v>
      </c>
      <c r="P86" s="1745">
        <f>O86*8</f>
        <v>143.19999999999999</v>
      </c>
      <c r="Q86" s="2465">
        <f>($G$86-P86)*53066/1000</f>
        <v>-169.81119999999939</v>
      </c>
      <c r="R86" s="1738" t="s">
        <v>8</v>
      </c>
      <c r="S86" s="1757">
        <f t="shared" si="13"/>
        <v>0</v>
      </c>
      <c r="T86" s="2037" t="str">
        <f>IF('3.XT-C TT'!AF14="","",'3.XT-C TT'!AF14)</f>
        <v/>
      </c>
      <c r="U86" s="1740" t="s">
        <v>9</v>
      </c>
      <c r="V86" s="2542">
        <f>XM.HN!D55</f>
        <v>17.350000000000001</v>
      </c>
      <c r="W86" s="1745">
        <f>V86*8</f>
        <v>138.80000000000001</v>
      </c>
      <c r="X86" s="2465">
        <f>($G$86-W86)*53066/1000</f>
        <v>63.679199999999391</v>
      </c>
      <c r="Y86" s="1738" t="s">
        <v>8</v>
      </c>
      <c r="Z86" s="1757">
        <f t="shared" si="14"/>
        <v>63.679199999999391</v>
      </c>
      <c r="AA86" s="2037" t="str">
        <f>IF('3.XT-C TT'!AJ14="","",'3.XT-C TT'!AJ14)</f>
        <v/>
      </c>
      <c r="AB86" s="1740" t="s">
        <v>9</v>
      </c>
      <c r="AC86" s="2510">
        <f>XM.HN!E55</f>
        <v>0</v>
      </c>
      <c r="AD86" s="1745">
        <f>AC86*8</f>
        <v>0</v>
      </c>
      <c r="AE86" s="2465">
        <f>($G$86-AD86)*53066/1000</f>
        <v>7429.24</v>
      </c>
      <c r="AF86" s="1738" t="s">
        <v>8</v>
      </c>
      <c r="AG86" s="1757">
        <f t="shared" si="15"/>
        <v>0</v>
      </c>
      <c r="AH86" s="2037" t="str">
        <f>IF('3.XT-C TT(CA2)'!AB14="","",'3.XT-C TT(CA2)'!AB14)</f>
        <v/>
      </c>
      <c r="AI86" s="1740" t="s">
        <v>9</v>
      </c>
      <c r="AJ86" s="2510">
        <f>XM.HN!F55</f>
        <v>0</v>
      </c>
      <c r="AK86" s="1745">
        <f>AJ86*8</f>
        <v>0</v>
      </c>
      <c r="AL86" s="2465">
        <f>($G$86-AK86)*53066/1000</f>
        <v>7429.24</v>
      </c>
      <c r="AM86" s="1738" t="s">
        <v>8</v>
      </c>
      <c r="AN86" s="1757">
        <f t="shared" si="16"/>
        <v>0</v>
      </c>
      <c r="AO86" s="2037" t="str">
        <f>IF('3.XT-C TT(CA2)'!AF14="","",'3.XT-C TT(CA2)'!AF14)</f>
        <v/>
      </c>
      <c r="AP86" s="1740" t="s">
        <v>9</v>
      </c>
      <c r="AQ86" s="2510">
        <f>XM.HN!G55</f>
        <v>0</v>
      </c>
      <c r="AR86" s="1745">
        <f>AQ86*8</f>
        <v>0</v>
      </c>
      <c r="AS86" s="2465">
        <f>($G$86-AR86)*53066/1000</f>
        <v>7429.24</v>
      </c>
      <c r="AT86" s="1738" t="s">
        <v>8</v>
      </c>
      <c r="AU86" s="1757">
        <f t="shared" si="17"/>
        <v>0</v>
      </c>
      <c r="AV86" s="2037" t="str">
        <f>IF('3.XT-C TT(CA2)'!AJ14="","",'3.XT-C TT(CA2)'!AJ14)</f>
        <v/>
      </c>
      <c r="AW86" s="1740" t="s">
        <v>9</v>
      </c>
      <c r="AY86" s="2158"/>
      <c r="AZ86" s="1043"/>
      <c r="BA86" s="1043"/>
      <c r="BB86" s="1043"/>
      <c r="BC86" s="1043"/>
      <c r="BD86" s="1043"/>
      <c r="BE86" s="1043"/>
      <c r="BF86" s="1043"/>
      <c r="BG86" s="1043"/>
      <c r="BH86" s="1043"/>
      <c r="BI86" s="1043"/>
      <c r="BJ86" s="1043"/>
      <c r="BK86" s="1043"/>
    </row>
    <row r="87" spans="1:63" ht="39.75" customHeight="1">
      <c r="A87" s="1041" t="s">
        <v>288</v>
      </c>
      <c r="B87" s="1031" t="s">
        <v>126</v>
      </c>
      <c r="C87" s="2890" t="s">
        <v>1666</v>
      </c>
      <c r="D87" s="1309" t="s">
        <v>4</v>
      </c>
      <c r="E87" s="45" t="s">
        <v>1525</v>
      </c>
      <c r="F87" s="1896" t="s">
        <v>1506</v>
      </c>
      <c r="G87" s="2612">
        <v>8.5</v>
      </c>
      <c r="H87" s="2517">
        <f>XM.HN!B56</f>
        <v>6.45</v>
      </c>
      <c r="I87" s="1922">
        <f>H87*1.3</f>
        <v>8.3849999999999998</v>
      </c>
      <c r="J87" s="2465">
        <f>($G$87-I87)*53066/1000</f>
        <v>6.1025900000000108</v>
      </c>
      <c r="K87" s="1738" t="s">
        <v>8</v>
      </c>
      <c r="L87" s="1757">
        <f t="shared" si="12"/>
        <v>6.1025900000000108</v>
      </c>
      <c r="M87" s="2037" t="str">
        <f>IF('3.XT-C TT'!AB15="","",'3.XT-C TT'!AB15)</f>
        <v/>
      </c>
      <c r="N87" s="1740" t="s">
        <v>9</v>
      </c>
      <c r="O87" s="2517">
        <f>XM.HN!C56</f>
        <v>6.45</v>
      </c>
      <c r="P87" s="1922">
        <f>O87*1.3</f>
        <v>8.3849999999999998</v>
      </c>
      <c r="Q87" s="2465">
        <f>($G$87-P87)*53066/1000</f>
        <v>6.1025900000000108</v>
      </c>
      <c r="R87" s="1738" t="s">
        <v>8</v>
      </c>
      <c r="S87" s="1757">
        <f t="shared" si="13"/>
        <v>6.1025900000000108</v>
      </c>
      <c r="T87" s="2037" t="str">
        <f>IF('3.XT-C TT'!AF15="","",'3.XT-C TT'!AF15)</f>
        <v/>
      </c>
      <c r="U87" s="1740" t="s">
        <v>9</v>
      </c>
      <c r="V87" s="2542">
        <f>XM.HN!D56</f>
        <v>6.5</v>
      </c>
      <c r="W87" s="1922">
        <f>V87*1.3</f>
        <v>8.4500000000000011</v>
      </c>
      <c r="X87" s="2465">
        <f>($G$87-W87)*53066/1000</f>
        <v>2.6532999999999434</v>
      </c>
      <c r="Y87" s="1738" t="s">
        <v>8</v>
      </c>
      <c r="Z87" s="1757">
        <f t="shared" si="14"/>
        <v>2.6532999999999434</v>
      </c>
      <c r="AA87" s="2037" t="str">
        <f>IF('3.XT-C TT'!AJ15="","",'3.XT-C TT'!AJ15)</f>
        <v/>
      </c>
      <c r="AB87" s="1740" t="s">
        <v>9</v>
      </c>
      <c r="AC87" s="2510">
        <f>XM.HN!E56</f>
        <v>0</v>
      </c>
      <c r="AD87" s="1922">
        <f>AC87*1.3</f>
        <v>0</v>
      </c>
      <c r="AE87" s="2465">
        <f>($G$87-AD87)*53066/1000</f>
        <v>451.06099999999998</v>
      </c>
      <c r="AF87" s="1738" t="s">
        <v>8</v>
      </c>
      <c r="AG87" s="1757">
        <f t="shared" si="15"/>
        <v>0</v>
      </c>
      <c r="AH87" s="2037" t="str">
        <f>IF('3.XT-C TT(CA2)'!AB15="","",'3.XT-C TT(CA2)'!AB15)</f>
        <v/>
      </c>
      <c r="AI87" s="1740" t="s">
        <v>9</v>
      </c>
      <c r="AJ87" s="2510">
        <f>XM.HN!F56</f>
        <v>0</v>
      </c>
      <c r="AK87" s="1922">
        <f>AJ87*1.3</f>
        <v>0</v>
      </c>
      <c r="AL87" s="2465">
        <f>($G$87-AK87)*53066/1000</f>
        <v>451.06099999999998</v>
      </c>
      <c r="AM87" s="1738" t="s">
        <v>8</v>
      </c>
      <c r="AN87" s="1757">
        <f t="shared" si="16"/>
        <v>0</v>
      </c>
      <c r="AO87" s="2037" t="str">
        <f>IF('3.XT-C TT(CA2)'!AF15="","",'3.XT-C TT(CA2)'!AF15)</f>
        <v/>
      </c>
      <c r="AP87" s="1740" t="s">
        <v>9</v>
      </c>
      <c r="AQ87" s="2510">
        <f>XM.HN!G56</f>
        <v>0</v>
      </c>
      <c r="AR87" s="1922">
        <f>AQ87*1.3</f>
        <v>0</v>
      </c>
      <c r="AS87" s="2465">
        <f>($G$87-AR87)*53066/1000</f>
        <v>451.06099999999998</v>
      </c>
      <c r="AT87" s="1738" t="s">
        <v>8</v>
      </c>
      <c r="AU87" s="1757">
        <f t="shared" si="17"/>
        <v>0</v>
      </c>
      <c r="AV87" s="2037" t="str">
        <f>IF('3.XT-C TT(CA2)'!AJ15="","",'3.XT-C TT(CA2)'!AJ15)</f>
        <v/>
      </c>
      <c r="AW87" s="1730" t="s">
        <v>9</v>
      </c>
      <c r="AY87" s="2161"/>
      <c r="AZ87" s="1043"/>
      <c r="BA87" s="1043"/>
      <c r="BB87" s="1043"/>
      <c r="BC87" s="1043"/>
      <c r="BD87" s="1043"/>
      <c r="BE87" s="1043"/>
      <c r="BF87" s="1043"/>
      <c r="BG87" s="1043"/>
      <c r="BH87" s="1043"/>
      <c r="BI87" s="1043"/>
      <c r="BJ87" s="1043"/>
      <c r="BK87" s="1043"/>
    </row>
    <row r="88" spans="1:63" ht="39.75" customHeight="1">
      <c r="A88" s="1712" t="s">
        <v>289</v>
      </c>
      <c r="B88" s="1031" t="s">
        <v>126</v>
      </c>
      <c r="C88" s="2264" t="s">
        <v>1562</v>
      </c>
      <c r="D88" s="1036" t="s">
        <v>3</v>
      </c>
      <c r="E88" s="45" t="s">
        <v>1330</v>
      </c>
      <c r="F88" s="1896" t="s">
        <v>1314</v>
      </c>
      <c r="G88" s="2612">
        <v>6</v>
      </c>
      <c r="H88" s="2517">
        <f>XM.HN!B57</f>
        <v>18.350000000000001</v>
      </c>
      <c r="I88" s="1731">
        <f>(H88*0.4237)-1.0461</f>
        <v>6.7287950000000007</v>
      </c>
      <c r="J88" s="2465">
        <f>($G$88-I88)*3360/100</f>
        <v>-24.487512000000024</v>
      </c>
      <c r="K88" s="1738" t="s">
        <v>8</v>
      </c>
      <c r="L88" s="1757">
        <f>IF(I88=-1.0461,0,IF(J88&lt;0,0,J88))</f>
        <v>0</v>
      </c>
      <c r="M88" s="2037" t="str">
        <f>IF('3.XT-C TT'!AB16="","",'3.XT-C TT'!AB16)</f>
        <v/>
      </c>
      <c r="N88" s="1740" t="s">
        <v>10</v>
      </c>
      <c r="O88" s="2510">
        <f>XM.HN!C57</f>
        <v>18.25</v>
      </c>
      <c r="P88" s="1731">
        <f>(O88*0.4237)-1.0461</f>
        <v>6.6864250000000007</v>
      </c>
      <c r="Q88" s="2465">
        <f>($G$88-P88)*3360/100</f>
        <v>-23.063880000000026</v>
      </c>
      <c r="R88" s="1738" t="s">
        <v>8</v>
      </c>
      <c r="S88" s="1757">
        <f>IF(P88=-1.0461,0,IF(Q88&lt;0,0,Q88))</f>
        <v>0</v>
      </c>
      <c r="T88" s="2037" t="str">
        <f>IF('3.XT-C TT'!AF16="","",'3.XT-C TT'!AF16)</f>
        <v/>
      </c>
      <c r="U88" s="1740" t="s">
        <v>10</v>
      </c>
      <c r="V88" s="2542">
        <f>XM.HN!D57</f>
        <v>18.100000000000001</v>
      </c>
      <c r="W88" s="1731">
        <f>(V88*0.4237)-1.0461</f>
        <v>6.6228700000000007</v>
      </c>
      <c r="X88" s="2465">
        <f>($G$88-W88)*3360/100</f>
        <v>-20.928432000000026</v>
      </c>
      <c r="Y88" s="1738" t="s">
        <v>8</v>
      </c>
      <c r="Z88" s="1757">
        <f>IF(W88=-1.0461,0,IF(X88&lt;0,0,X88))</f>
        <v>0</v>
      </c>
      <c r="AA88" s="2037" t="str">
        <f>IF('3.XT-C TT'!AJ16="","",'3.XT-C TT'!AJ16)</f>
        <v/>
      </c>
      <c r="AB88" s="1740" t="s">
        <v>10</v>
      </c>
      <c r="AC88" s="2510">
        <f>XM.HN!E57</f>
        <v>0</v>
      </c>
      <c r="AD88" s="1731">
        <f>(AC88*0.4237)-1.0461</f>
        <v>-1.0461</v>
      </c>
      <c r="AE88" s="2465">
        <f>($G$88-AD88)*3360/100</f>
        <v>236.74896000000001</v>
      </c>
      <c r="AF88" s="1738" t="s">
        <v>8</v>
      </c>
      <c r="AG88" s="1757">
        <f>IF(AD88=-1.0461,0,IF(AE88&lt;0,0,AE88))</f>
        <v>0</v>
      </c>
      <c r="AH88" s="2037" t="str">
        <f>IF('3.XT-C TT(CA2)'!AB16="","",'3.XT-C TT(CA2)'!AB16)</f>
        <v/>
      </c>
      <c r="AI88" s="1740" t="s">
        <v>10</v>
      </c>
      <c r="AJ88" s="2510">
        <f>XM.HN!F57</f>
        <v>0</v>
      </c>
      <c r="AK88" s="1731">
        <f>(AJ88*0.4237)-1.0461</f>
        <v>-1.0461</v>
      </c>
      <c r="AL88" s="2465">
        <f>($G$88-AK88)*3360/100</f>
        <v>236.74896000000001</v>
      </c>
      <c r="AM88" s="1738" t="s">
        <v>8</v>
      </c>
      <c r="AN88" s="1757">
        <f>IF(AK88=-1.0461,0,IF(AL88&lt;0,0,AL88))</f>
        <v>0</v>
      </c>
      <c r="AO88" s="2037" t="str">
        <f>IF('3.XT-C TT(CA2)'!AF16="","",'3.XT-C TT(CA2)'!AF16)</f>
        <v/>
      </c>
      <c r="AP88" s="1740" t="s">
        <v>10</v>
      </c>
      <c r="AQ88" s="2510">
        <f>XM.HN!G57</f>
        <v>0</v>
      </c>
      <c r="AR88" s="1731">
        <f>(AQ88*0.4237)-1.0461</f>
        <v>-1.0461</v>
      </c>
      <c r="AS88" s="2465">
        <f>($G$88-AR88)*3360/100</f>
        <v>236.74896000000001</v>
      </c>
      <c r="AT88" s="1738" t="s">
        <v>8</v>
      </c>
      <c r="AU88" s="1757">
        <f>IF(AR88=-1.0461,0,IF(AS88&lt;0,0,AS88))</f>
        <v>0</v>
      </c>
      <c r="AV88" s="2037" t="str">
        <f>IF('3.XT-C TT(CA2)'!AJ16="","",'3.XT-C TT(CA2)'!AJ16)</f>
        <v/>
      </c>
      <c r="AW88" s="1740" t="s">
        <v>10</v>
      </c>
      <c r="AY88" s="2158"/>
      <c r="AZ88" s="1043"/>
      <c r="BA88" s="1043"/>
      <c r="BB88" s="1043"/>
      <c r="BC88" s="1043"/>
      <c r="BD88" s="1043"/>
      <c r="BE88" s="1043"/>
      <c r="BF88" s="1043"/>
      <c r="BG88" s="1043"/>
      <c r="BH88" s="1043"/>
      <c r="BI88" s="1043"/>
      <c r="BJ88" s="1043"/>
      <c r="BK88" s="1043"/>
    </row>
    <row r="89" spans="1:63" ht="39.75" customHeight="1">
      <c r="A89" s="1041" t="s">
        <v>290</v>
      </c>
      <c r="B89" s="1031" t="s">
        <v>126</v>
      </c>
      <c r="C89" s="2269" t="str">
        <f>MENU!AE44</f>
        <v>Pha mới: 2024/06/22</v>
      </c>
      <c r="D89" s="1036" t="s">
        <v>5</v>
      </c>
      <c r="E89" s="45" t="s">
        <v>1301</v>
      </c>
      <c r="F89" s="1887" t="s">
        <v>1526</v>
      </c>
      <c r="G89" s="2613"/>
      <c r="H89" s="2517"/>
      <c r="I89" s="2228">
        <f>XM.HN!B66</f>
        <v>2.11</v>
      </c>
      <c r="J89" s="2464"/>
      <c r="K89" s="1734"/>
      <c r="L89" s="1757">
        <f t="shared" si="12"/>
        <v>0</v>
      </c>
      <c r="M89" s="2037" t="str">
        <f>IF('3.XT-C TT'!AB17="","",'3.XT-C TT'!AB17)</f>
        <v/>
      </c>
      <c r="N89" s="1735"/>
      <c r="O89" s="2517"/>
      <c r="P89" s="2228">
        <f>XM.HN!C66</f>
        <v>2.1</v>
      </c>
      <c r="Q89" s="2476"/>
      <c r="R89" s="1741"/>
      <c r="S89" s="1757">
        <f t="shared" si="13"/>
        <v>0</v>
      </c>
      <c r="T89" s="2037" t="str">
        <f>IF('3.XT-C TT'!AF17="","",'3.XT-C TT'!AF17)</f>
        <v/>
      </c>
      <c r="U89" s="1746"/>
      <c r="V89" s="2542"/>
      <c r="W89" s="2228">
        <f>XM.HN!D66</f>
        <v>2.14</v>
      </c>
      <c r="X89" s="2476"/>
      <c r="Y89" s="1741"/>
      <c r="Z89" s="1757">
        <f t="shared" si="14"/>
        <v>0</v>
      </c>
      <c r="AA89" s="2037" t="str">
        <f>IF('3.XT-C TT'!AJ17="","",'3.XT-C TT'!AJ17)</f>
        <v/>
      </c>
      <c r="AB89" s="1746"/>
      <c r="AC89" s="2510"/>
      <c r="AD89" s="2228">
        <f>XM.HN!E66</f>
        <v>0</v>
      </c>
      <c r="AE89" s="2476"/>
      <c r="AF89" s="1741"/>
      <c r="AG89" s="1757">
        <f t="shared" si="15"/>
        <v>0</v>
      </c>
      <c r="AH89" s="2037" t="str">
        <f>IF('3.XT-C TT(CA2)'!AB17="","",'3.XT-C TT(CA2)'!AB17)</f>
        <v/>
      </c>
      <c r="AI89" s="1746"/>
      <c r="AJ89" s="2510"/>
      <c r="AK89" s="2228">
        <f>XM.HN!F66</f>
        <v>0</v>
      </c>
      <c r="AL89" s="2476"/>
      <c r="AM89" s="1741"/>
      <c r="AN89" s="1757">
        <f t="shared" si="16"/>
        <v>0</v>
      </c>
      <c r="AO89" s="2037" t="str">
        <f>IF('3.XT-C TT(CA2)'!AF17="","",'3.XT-C TT(CA2)'!AF17)</f>
        <v/>
      </c>
      <c r="AP89" s="1746"/>
      <c r="AQ89" s="2510"/>
      <c r="AR89" s="2228">
        <f>XM.HN!G66</f>
        <v>0</v>
      </c>
      <c r="AS89" s="2626"/>
      <c r="AT89" s="1734"/>
      <c r="AU89" s="1757">
        <f t="shared" si="17"/>
        <v>0</v>
      </c>
      <c r="AV89" s="2037" t="str">
        <f>IF('3.XT-C TT(CA2)'!AJ17="","",'3.XT-C TT(CA2)'!AJ17)</f>
        <v/>
      </c>
      <c r="AW89" s="1771"/>
      <c r="AY89" s="2158"/>
      <c r="AZ89" s="1043"/>
      <c r="BA89" s="1043"/>
      <c r="BB89" s="1043"/>
      <c r="BC89" s="1043"/>
      <c r="BD89" s="1043"/>
      <c r="BE89" s="1043"/>
      <c r="BF89" s="1043"/>
      <c r="BG89" s="1043"/>
      <c r="BH89" s="1043"/>
      <c r="BI89" s="1043"/>
      <c r="BJ89" s="1043"/>
      <c r="BK89" s="1043"/>
    </row>
    <row r="90" spans="1:63" ht="39.75" customHeight="1">
      <c r="A90" s="1713" t="s">
        <v>293</v>
      </c>
      <c r="B90" s="2452"/>
      <c r="C90" s="101" t="s">
        <v>1587</v>
      </c>
      <c r="D90" s="2453" t="s">
        <v>6</v>
      </c>
      <c r="E90" s="13" t="s">
        <v>1334</v>
      </c>
      <c r="F90" s="1896" t="s">
        <v>1312</v>
      </c>
      <c r="G90" s="2614">
        <v>0.45</v>
      </c>
      <c r="H90" s="2517">
        <f>XM.HN!B59</f>
        <v>1.7</v>
      </c>
      <c r="I90" s="1747">
        <f>(1*H90*36.5)/(0.5*10)/32%/100</f>
        <v>0.3878125</v>
      </c>
      <c r="J90" s="2465">
        <f>($G$90-I90)*3234</f>
        <v>201.11437500000002</v>
      </c>
      <c r="K90" s="1738" t="s">
        <v>8</v>
      </c>
      <c r="L90" s="1757">
        <f t="shared" ref="L90" si="18">IF(I90=0,0,IF(J90&lt;0,0,J90))</f>
        <v>201.11437500000002</v>
      </c>
      <c r="M90" s="2037" t="str">
        <f>IF('3.XT-C TT'!AB18="","",'3.XT-C TT'!AB18)</f>
        <v/>
      </c>
      <c r="N90" s="1744" t="s">
        <v>10</v>
      </c>
      <c r="O90" s="2515">
        <f>XM.HN!C59</f>
        <v>2</v>
      </c>
      <c r="P90" s="1747">
        <f>(1*O90*36.5)/(0.5*10)/32%/100</f>
        <v>0.45624999999999999</v>
      </c>
      <c r="Q90" s="2465">
        <f>($G$90-P90)*3234</f>
        <v>-20.212499999999928</v>
      </c>
      <c r="R90" s="1766" t="s">
        <v>8</v>
      </c>
      <c r="S90" s="1757">
        <f t="shared" ref="S90" si="19">IF(P90=0,0,IF(Q90&lt;0,0,Q90))</f>
        <v>0</v>
      </c>
      <c r="T90" s="2037" t="str">
        <f>IF('3.XT-C TT'!AF18="","",'3.XT-C TT'!AF18)</f>
        <v/>
      </c>
      <c r="U90" s="1758" t="s">
        <v>10</v>
      </c>
      <c r="V90" s="2634">
        <f>XM.HN!D59</f>
        <v>2.16</v>
      </c>
      <c r="W90" s="1747">
        <f>(1*V90*36.5)/(0.5*10)/32%/100</f>
        <v>0.49274999999999997</v>
      </c>
      <c r="X90" s="2465">
        <f>($G$90-W90)*3234</f>
        <v>-138.25349999999986</v>
      </c>
      <c r="Y90" s="1766" t="s">
        <v>8</v>
      </c>
      <c r="Z90" s="1757">
        <f t="shared" ref="Z90" si="20">IF(W90=0,0,IF(X90&lt;0,0,X90))</f>
        <v>0</v>
      </c>
      <c r="AA90" s="2037" t="str">
        <f>IF('3.XT-C TT'!AJ18="","",'3.XT-C TT'!AJ18)</f>
        <v/>
      </c>
      <c r="AB90" s="1758" t="s">
        <v>10</v>
      </c>
      <c r="AC90" s="2634">
        <f>XM.HN!E59</f>
        <v>0</v>
      </c>
      <c r="AD90" s="1747">
        <f>(1*AC90*36.5)/(0.5*10)/32%/100</f>
        <v>0</v>
      </c>
      <c r="AE90" s="2465">
        <f>($G$90-AD90)*3234</f>
        <v>1455.3</v>
      </c>
      <c r="AF90" s="1766" t="s">
        <v>8</v>
      </c>
      <c r="AG90" s="1757">
        <f t="shared" ref="AG90" si="21">IF(AD90=0,0,IF(AE90&lt;0,0,AE90))</f>
        <v>0</v>
      </c>
      <c r="AH90" s="2037" t="str">
        <f>IF('3.XT-C TT(CA2)'!AB18="","",'3.XT-C TT(CA2)'!AB18)</f>
        <v/>
      </c>
      <c r="AI90" s="1758" t="s">
        <v>10</v>
      </c>
      <c r="AJ90" s="2632">
        <f>XM.HN!F59</f>
        <v>0</v>
      </c>
      <c r="AK90" s="1747">
        <f>(1*AJ90*36.5)/(0.5*10)/32%/100</f>
        <v>0</v>
      </c>
      <c r="AL90" s="2465">
        <f>($G$90-AK90)*3234</f>
        <v>1455.3</v>
      </c>
      <c r="AM90" s="1766" t="s">
        <v>8</v>
      </c>
      <c r="AN90" s="1757">
        <f t="shared" ref="AN90" si="22">IF(AK90=0,0,IF(AL90&lt;0,0,AL90))</f>
        <v>0</v>
      </c>
      <c r="AO90" s="2037" t="str">
        <f>IF('3.XT-C TT(CA2)'!AF18="","",'3.XT-C TT(CA2)'!AF18)</f>
        <v/>
      </c>
      <c r="AP90" s="1758" t="s">
        <v>10</v>
      </c>
      <c r="AQ90" s="2632">
        <f>XM.HN!G59</f>
        <v>0</v>
      </c>
      <c r="AR90" s="1747">
        <f>(1*AQ90*36.5)/(0.5*10)/32%/100</f>
        <v>0</v>
      </c>
      <c r="AS90" s="2465">
        <f>($G$90-AR90)*3234</f>
        <v>1455.3</v>
      </c>
      <c r="AT90" s="1724" t="s">
        <v>8</v>
      </c>
      <c r="AU90" s="1757">
        <f t="shared" ref="AU90" si="23">IF(AR90=0,0,IF(AS90&lt;0,0,AS90))</f>
        <v>0</v>
      </c>
      <c r="AV90" s="2037" t="str">
        <f>IF('3.XT-C TT(CA2)'!AJ18="","",'3.XT-C TT(CA2)'!AJ18)</f>
        <v/>
      </c>
      <c r="AW90" s="1725" t="s">
        <v>10</v>
      </c>
      <c r="AY90" s="2453"/>
      <c r="AZ90" s="1043"/>
      <c r="BA90" s="1043"/>
      <c r="BB90" s="1043"/>
      <c r="BC90" s="1043"/>
      <c r="BD90" s="1043"/>
      <c r="BE90" s="1043"/>
      <c r="BF90" s="1043"/>
      <c r="BG90" s="1043"/>
      <c r="BH90" s="1043"/>
      <c r="BI90" s="1043"/>
      <c r="BJ90" s="1043"/>
      <c r="BK90" s="1043"/>
    </row>
    <row r="91" spans="1:63" ht="42" hidden="1" customHeight="1">
      <c r="A91" s="1713" t="s">
        <v>291</v>
      </c>
      <c r="B91" s="1031" t="s">
        <v>126</v>
      </c>
      <c r="C91" s="101" t="s">
        <v>1586</v>
      </c>
      <c r="D91" s="44" t="s">
        <v>6</v>
      </c>
      <c r="E91" s="2886" t="s">
        <v>1639</v>
      </c>
      <c r="F91" s="2887" t="s">
        <v>1640</v>
      </c>
      <c r="G91" s="2888">
        <v>0.15</v>
      </c>
      <c r="H91" s="2517">
        <f>XM.HN!B60</f>
        <v>0</v>
      </c>
      <c r="I91" s="1736">
        <f>(1*H91*36.5)/(0.5*10)/32%/100</f>
        <v>0</v>
      </c>
      <c r="J91" s="2465">
        <f>($G$91-I91)*3361</f>
        <v>504.15</v>
      </c>
      <c r="K91" s="1738" t="s">
        <v>8</v>
      </c>
      <c r="L91" s="1757">
        <f t="shared" si="12"/>
        <v>0</v>
      </c>
      <c r="M91" s="2037" t="str">
        <f>IF('3.XT-C TT'!AB19="","",'3.XT-C TT'!AB19)</f>
        <v/>
      </c>
      <c r="N91" s="1744" t="s">
        <v>10</v>
      </c>
      <c r="O91" s="2515">
        <f>XM.HN!C60</f>
        <v>0</v>
      </c>
      <c r="P91" s="1736">
        <f>(1*O91*36.5)/(0.5*10)/32%/100</f>
        <v>0</v>
      </c>
      <c r="Q91" s="2465">
        <f>($G$91-P91)*3361</f>
        <v>504.15</v>
      </c>
      <c r="R91" s="1766" t="s">
        <v>8</v>
      </c>
      <c r="S91" s="1757">
        <f t="shared" si="13"/>
        <v>0</v>
      </c>
      <c r="T91" s="2037" t="str">
        <f>IF('3.XT-C TT'!AF19="","",'3.XT-C TT'!AF19)</f>
        <v/>
      </c>
      <c r="U91" s="1758" t="s">
        <v>10</v>
      </c>
      <c r="V91" s="2634">
        <f>XM.HN!D60</f>
        <v>0</v>
      </c>
      <c r="W91" s="1736">
        <f>(1*V91*36.5)/(0.5*10)/32%/100</f>
        <v>0</v>
      </c>
      <c r="X91" s="2465">
        <f>($G$91-W91)*3361</f>
        <v>504.15</v>
      </c>
      <c r="Y91" s="1766" t="s">
        <v>8</v>
      </c>
      <c r="Z91" s="1757">
        <f t="shared" si="14"/>
        <v>0</v>
      </c>
      <c r="AA91" s="2037" t="str">
        <f>IF('3.XT-C TT'!AJ19="","",'3.XT-C TT'!AJ19)</f>
        <v/>
      </c>
      <c r="AB91" s="1758" t="s">
        <v>10</v>
      </c>
      <c r="AC91" s="2634">
        <f>XM.HN!E60</f>
        <v>0</v>
      </c>
      <c r="AD91" s="1736">
        <f>(1*AC91*36.5)/(0.5*10)/32%/100</f>
        <v>0</v>
      </c>
      <c r="AE91" s="2465">
        <f>($G$91-AD91)*3361</f>
        <v>504.15</v>
      </c>
      <c r="AF91" s="1766" t="s">
        <v>8</v>
      </c>
      <c r="AG91" s="1757">
        <f t="shared" si="15"/>
        <v>0</v>
      </c>
      <c r="AH91" s="2037" t="str">
        <f>IF('3.XT-C TT(CA2)'!AB19="","",'3.XT-C TT(CA2)'!AB19)</f>
        <v/>
      </c>
      <c r="AI91" s="1758" t="s">
        <v>10</v>
      </c>
      <c r="AJ91" s="2632">
        <f>XM.HN!F60</f>
        <v>0</v>
      </c>
      <c r="AK91" s="1736">
        <f>(1*AJ91*36.5)/(0.5*10)/32%/100</f>
        <v>0</v>
      </c>
      <c r="AL91" s="2465">
        <f>($G$91-AK91)*3361</f>
        <v>504.15</v>
      </c>
      <c r="AM91" s="1766" t="s">
        <v>8</v>
      </c>
      <c r="AN91" s="1757">
        <f t="shared" si="16"/>
        <v>0</v>
      </c>
      <c r="AO91" s="2037" t="str">
        <f>IF('3.XT-C TT(CA2)'!AF19="","",'3.XT-C TT(CA2)'!AF19)</f>
        <v/>
      </c>
      <c r="AP91" s="1758" t="s">
        <v>10</v>
      </c>
      <c r="AQ91" s="2632">
        <f>XM.HN!G60</f>
        <v>0</v>
      </c>
      <c r="AR91" s="1736">
        <f>(1*AQ91*36.5)/(0.5*10)/32%/100</f>
        <v>0</v>
      </c>
      <c r="AS91" s="2465">
        <f>($G$91-AR91)*3361</f>
        <v>504.15</v>
      </c>
      <c r="AT91" s="1724" t="s">
        <v>8</v>
      </c>
      <c r="AU91" s="1757">
        <f t="shared" si="17"/>
        <v>0</v>
      </c>
      <c r="AV91" s="2037" t="str">
        <f>IF('3.XT-C TT(CA2)'!AJ19="","",'3.XT-C TT(CA2)'!AJ19)</f>
        <v/>
      </c>
      <c r="AW91" s="1725" t="s">
        <v>10</v>
      </c>
      <c r="AY91" s="2158"/>
      <c r="AZ91" s="1043"/>
      <c r="BA91" s="1043"/>
      <c r="BB91" s="1043"/>
      <c r="BC91" s="1043"/>
      <c r="BD91" s="1043"/>
      <c r="BE91" s="1043"/>
      <c r="BF91" s="1043"/>
      <c r="BG91" s="1043"/>
      <c r="BH91" s="1043"/>
      <c r="BI91" s="1043"/>
      <c r="BJ91" s="1043"/>
      <c r="BK91" s="1043"/>
    </row>
    <row r="92" spans="1:63" ht="39.75" customHeight="1">
      <c r="A92" s="2262"/>
      <c r="B92" s="2257"/>
      <c r="C92" s="101" t="s">
        <v>1555</v>
      </c>
      <c r="D92" s="2256" t="s">
        <v>6</v>
      </c>
      <c r="E92" s="13" t="s">
        <v>1334</v>
      </c>
      <c r="F92" s="1896" t="s">
        <v>1312</v>
      </c>
      <c r="G92" s="2614">
        <v>0.45</v>
      </c>
      <c r="H92" s="2517">
        <f>XM.HN!B61</f>
        <v>1.96</v>
      </c>
      <c r="I92" s="1747">
        <f>(1*H92*36.5)/(0.5*10)/32%/100</f>
        <v>0.44712499999999994</v>
      </c>
      <c r="J92" s="2465">
        <f>($G$92-I92)*3361</f>
        <v>9.6628750000002412</v>
      </c>
      <c r="K92" s="1738" t="s">
        <v>8</v>
      </c>
      <c r="L92" s="1757">
        <f t="shared" ref="L92" si="24">IF(I92=0,0,IF(J92&lt;0,0,J92))</f>
        <v>9.6628750000002412</v>
      </c>
      <c r="M92" s="2037" t="str">
        <f>IF('3.XT-C TT'!AB20="","",'3.XT-C TT'!AB20)</f>
        <v/>
      </c>
      <c r="N92" s="1744" t="s">
        <v>10</v>
      </c>
      <c r="O92" s="2515">
        <f>XM.HN!C61</f>
        <v>2.06</v>
      </c>
      <c r="P92" s="1747">
        <f>(1*O92*36.5)/(0.5*10)/32%/100</f>
        <v>0.46993750000000001</v>
      </c>
      <c r="Q92" s="2465">
        <f>($G$92-P92)*3361</f>
        <v>-67.009937499999992</v>
      </c>
      <c r="R92" s="1766" t="s">
        <v>8</v>
      </c>
      <c r="S92" s="1757">
        <f t="shared" ref="S92" si="25">IF(P92=0,0,IF(Q92&lt;0,0,Q92))</f>
        <v>0</v>
      </c>
      <c r="T92" s="2037" t="str">
        <f>IF('3.XT-C TT'!AF20="","",'3.XT-C TT'!AF20)</f>
        <v/>
      </c>
      <c r="U92" s="1758" t="s">
        <v>10</v>
      </c>
      <c r="V92" s="2634">
        <f>XM.HN!D61</f>
        <v>2.12</v>
      </c>
      <c r="W92" s="1747">
        <f>(1*V92*36.5)/(0.5*10)/32%/100</f>
        <v>0.48362500000000003</v>
      </c>
      <c r="X92" s="2465">
        <f>($G$92-W92)*3361</f>
        <v>-113.01362500000005</v>
      </c>
      <c r="Y92" s="1766" t="s">
        <v>8</v>
      </c>
      <c r="Z92" s="1757">
        <f t="shared" ref="Z92" si="26">IF(W92=0,0,IF(X92&lt;0,0,X92))</f>
        <v>0</v>
      </c>
      <c r="AA92" s="2037" t="str">
        <f>IF('3.XT-C TT'!AJ20="","",'3.XT-C TT'!AJ20)</f>
        <v/>
      </c>
      <c r="AB92" s="1758" t="s">
        <v>10</v>
      </c>
      <c r="AC92" s="2634">
        <f>XM.HN!E61</f>
        <v>0</v>
      </c>
      <c r="AD92" s="1747">
        <f>(1*AC92*36.5)/(0.5*10)/32%/100</f>
        <v>0</v>
      </c>
      <c r="AE92" s="2465">
        <f>($G$92-AD92)*3361</f>
        <v>1512.45</v>
      </c>
      <c r="AF92" s="1766" t="s">
        <v>8</v>
      </c>
      <c r="AG92" s="1757">
        <f t="shared" ref="AG92" si="27">IF(AD92=0,0,IF(AE92&lt;0,0,AE92))</f>
        <v>0</v>
      </c>
      <c r="AH92" s="2037" t="str">
        <f>IF('3.XT-C TT(CA2)'!AB20="","",'3.XT-C TT(CA2)'!AB20)</f>
        <v/>
      </c>
      <c r="AI92" s="1758" t="s">
        <v>10</v>
      </c>
      <c r="AJ92" s="2632">
        <f>XM.HN!F61</f>
        <v>0</v>
      </c>
      <c r="AK92" s="1747">
        <f>(1*AJ92*36.5)/(0.5*10)/32%/100</f>
        <v>0</v>
      </c>
      <c r="AL92" s="2465">
        <f>($G$92-AK92)*3361</f>
        <v>1512.45</v>
      </c>
      <c r="AM92" s="1766" t="s">
        <v>8</v>
      </c>
      <c r="AN92" s="1757">
        <f t="shared" ref="AN92" si="28">IF(AK92=0,0,IF(AL92&lt;0,0,AL92))</f>
        <v>0</v>
      </c>
      <c r="AO92" s="2037" t="str">
        <f>IF('3.XT-C TT(CA2)'!AF20="","",'3.XT-C TT(CA2)'!AF20)</f>
        <v/>
      </c>
      <c r="AP92" s="1758" t="s">
        <v>10</v>
      </c>
      <c r="AQ92" s="2632">
        <f>XM.HN!G61</f>
        <v>0</v>
      </c>
      <c r="AR92" s="1747">
        <f>(1*AQ92*36.5)/(0.5*10)/32%/100</f>
        <v>0</v>
      </c>
      <c r="AS92" s="2465">
        <f>($G$92-AR92)*3361</f>
        <v>1512.45</v>
      </c>
      <c r="AT92" s="1724" t="s">
        <v>8</v>
      </c>
      <c r="AU92" s="1757">
        <f t="shared" ref="AU92" si="29">IF(AR92=0,0,IF(AS92&lt;0,0,AS92))</f>
        <v>0</v>
      </c>
      <c r="AV92" s="2037" t="str">
        <f>IF('3.XT-C TT(CA2)'!AJ20="","",'3.XT-C TT(CA2)'!AJ20)</f>
        <v/>
      </c>
      <c r="AW92" s="1725" t="s">
        <v>10</v>
      </c>
      <c r="AY92" s="2256"/>
      <c r="AZ92" s="1043"/>
      <c r="BA92" s="1043"/>
      <c r="BB92" s="1043"/>
      <c r="BC92" s="1043"/>
      <c r="BD92" s="1043"/>
      <c r="BE92" s="1043"/>
      <c r="BF92" s="1043"/>
      <c r="BG92" s="1043"/>
      <c r="BH92" s="1043"/>
      <c r="BI92" s="1043"/>
      <c r="BJ92" s="1043"/>
      <c r="BK92" s="1043"/>
    </row>
    <row r="93" spans="1:63" ht="39.75" customHeight="1">
      <c r="A93" s="1713" t="s">
        <v>292</v>
      </c>
      <c r="B93" s="1031" t="s">
        <v>126</v>
      </c>
      <c r="C93" s="101" t="s">
        <v>82</v>
      </c>
      <c r="D93" s="44" t="s">
        <v>6</v>
      </c>
      <c r="E93" s="13" t="s">
        <v>1334</v>
      </c>
      <c r="F93" s="1896" t="s">
        <v>1312</v>
      </c>
      <c r="G93" s="2614">
        <v>0.45</v>
      </c>
      <c r="H93" s="2517">
        <f>XM.HN!B62</f>
        <v>1.98</v>
      </c>
      <c r="I93" s="1747">
        <f>(1*H93*36.5)/(0.5*10)/32%/100</f>
        <v>0.45168749999999996</v>
      </c>
      <c r="J93" s="2465">
        <f>($G$93-I93)*10509</f>
        <v>-17.733937499999506</v>
      </c>
      <c r="K93" s="1738" t="s">
        <v>8</v>
      </c>
      <c r="L93" s="1757">
        <f t="shared" si="12"/>
        <v>0</v>
      </c>
      <c r="M93" s="2037" t="str">
        <f>IF('3.XT-C TT'!AB21="","",'3.XT-C TT'!AB21)</f>
        <v/>
      </c>
      <c r="N93" s="1744" t="s">
        <v>10</v>
      </c>
      <c r="O93" s="2515">
        <f>XM.HN!C62</f>
        <v>2</v>
      </c>
      <c r="P93" s="1747">
        <f>(1*O93*36.5)/(0.5*10)/32%/100</f>
        <v>0.45624999999999999</v>
      </c>
      <c r="Q93" s="2465">
        <f>($G$93-P93)*10509</f>
        <v>-65.681249999999764</v>
      </c>
      <c r="R93" s="1766" t="s">
        <v>8</v>
      </c>
      <c r="S93" s="1757">
        <f t="shared" si="13"/>
        <v>0</v>
      </c>
      <c r="T93" s="2037" t="str">
        <f>IF('3.XT-C TT'!AF21="","",'3.XT-C TT'!AF21)</f>
        <v/>
      </c>
      <c r="U93" s="1758" t="s">
        <v>10</v>
      </c>
      <c r="V93" s="2634">
        <f>XM.HN!D62</f>
        <v>2</v>
      </c>
      <c r="W93" s="1747">
        <f>(1*V93*36.5)/(0.5*10)/32%/100</f>
        <v>0.45624999999999999</v>
      </c>
      <c r="X93" s="2465">
        <f>($G$93-W93)*10509</f>
        <v>-65.681249999999764</v>
      </c>
      <c r="Y93" s="1766" t="s">
        <v>8</v>
      </c>
      <c r="Z93" s="1757">
        <f t="shared" si="14"/>
        <v>0</v>
      </c>
      <c r="AA93" s="2037" t="str">
        <f>IF('3.XT-C TT'!AJ21="","",'3.XT-C TT'!AJ21)</f>
        <v/>
      </c>
      <c r="AB93" s="1758" t="s">
        <v>10</v>
      </c>
      <c r="AC93" s="2634">
        <f>XM.HN!E62</f>
        <v>0</v>
      </c>
      <c r="AD93" s="1747">
        <f>(1*AC93*36.5)/(0.5*10)/32%/100</f>
        <v>0</v>
      </c>
      <c r="AE93" s="2465">
        <f>($G$93-AD93)*10509</f>
        <v>4729.05</v>
      </c>
      <c r="AF93" s="1766" t="s">
        <v>8</v>
      </c>
      <c r="AG93" s="1757">
        <f t="shared" si="15"/>
        <v>0</v>
      </c>
      <c r="AH93" s="2037" t="str">
        <f>IF('3.XT-C TT(CA2)'!AB21="","",'3.XT-C TT(CA2)'!AB21)</f>
        <v/>
      </c>
      <c r="AI93" s="1758" t="s">
        <v>10</v>
      </c>
      <c r="AJ93" s="2632">
        <f>XM.HN!F62</f>
        <v>0</v>
      </c>
      <c r="AK93" s="1747">
        <f>(1*AJ93*36.5)/(0.5*10)/32%/100</f>
        <v>0</v>
      </c>
      <c r="AL93" s="2465">
        <f>($G$93-AK93)*10509</f>
        <v>4729.05</v>
      </c>
      <c r="AM93" s="1766" t="s">
        <v>8</v>
      </c>
      <c r="AN93" s="1757">
        <f t="shared" si="16"/>
        <v>0</v>
      </c>
      <c r="AO93" s="2037" t="str">
        <f>IF('3.XT-C TT(CA2)'!AF21="","",'3.XT-C TT(CA2)'!AF21)</f>
        <v/>
      </c>
      <c r="AP93" s="1758" t="s">
        <v>10</v>
      </c>
      <c r="AQ93" s="2632">
        <f>XM.HN!G62</f>
        <v>0</v>
      </c>
      <c r="AR93" s="1747">
        <f>(1*AQ93*36.5)/(0.5*10)/32%/100</f>
        <v>0</v>
      </c>
      <c r="AS93" s="2465">
        <f>($G$93-AR93)*10509</f>
        <v>4729.05</v>
      </c>
      <c r="AT93" s="1724" t="s">
        <v>8</v>
      </c>
      <c r="AU93" s="1757">
        <f t="shared" si="17"/>
        <v>0</v>
      </c>
      <c r="AV93" s="2037" t="str">
        <f>IF('3.XT-C TT(CA2)'!AJ21="","",'3.XT-C TT(CA2)'!AJ21)</f>
        <v/>
      </c>
      <c r="AW93" s="1725" t="s">
        <v>10</v>
      </c>
      <c r="AY93" s="2158"/>
      <c r="AZ93" s="1043"/>
      <c r="BA93" s="1043"/>
      <c r="BB93" s="1043"/>
      <c r="BC93" s="1043"/>
      <c r="BD93" s="1043"/>
      <c r="BE93" s="1043"/>
      <c r="BF93" s="1043"/>
      <c r="BG93" s="1043"/>
      <c r="BH93" s="1043"/>
      <c r="BI93" s="1043"/>
      <c r="BJ93" s="1043"/>
      <c r="BK93" s="1043"/>
    </row>
    <row r="94" spans="1:63" ht="39.75" customHeight="1">
      <c r="A94" s="1713" t="s">
        <v>294</v>
      </c>
      <c r="B94" s="1031" t="s">
        <v>126</v>
      </c>
      <c r="C94" s="101" t="s">
        <v>147</v>
      </c>
      <c r="D94" s="44" t="s">
        <v>6</v>
      </c>
      <c r="E94" s="2186" t="s">
        <v>1658</v>
      </c>
      <c r="F94" s="1896" t="s">
        <v>1659</v>
      </c>
      <c r="G94" s="2889">
        <v>7.0000000000000001E-3</v>
      </c>
      <c r="H94" s="2517">
        <f>XM.HN!B63</f>
        <v>5.9</v>
      </c>
      <c r="I94" s="1767">
        <f>(H94*0.126)/100</f>
        <v>7.4340000000000005E-3</v>
      </c>
      <c r="J94" s="2465">
        <f>($G$94-I94)*2808/65%/1.51</f>
        <v>-1.2416423841059614</v>
      </c>
      <c r="K94" s="1738" t="s">
        <v>8</v>
      </c>
      <c r="L94" s="1768">
        <f t="shared" si="12"/>
        <v>0</v>
      </c>
      <c r="M94" s="2037" t="str">
        <f>IF('3.XT-C TT'!AB22="","",'3.XT-C TT'!AB22)</f>
        <v/>
      </c>
      <c r="N94" s="1744" t="s">
        <v>10</v>
      </c>
      <c r="O94" s="2517">
        <f>XM.HN!C63</f>
        <v>5.6</v>
      </c>
      <c r="P94" s="1767">
        <f>(O94*0.126)/100</f>
        <v>7.0559999999999998E-3</v>
      </c>
      <c r="Q94" s="2465">
        <f>($G$94-P94)*2808/65%/1.51</f>
        <v>-0.16021192052980024</v>
      </c>
      <c r="R94" s="1738" t="s">
        <v>8</v>
      </c>
      <c r="S94" s="1768">
        <f t="shared" si="13"/>
        <v>0</v>
      </c>
      <c r="T94" s="2037" t="str">
        <f>IF('3.XT-C TT'!AF22="","",'3.XT-C TT'!AF22)</f>
        <v/>
      </c>
      <c r="U94" s="1740" t="s">
        <v>10</v>
      </c>
      <c r="V94" s="2517">
        <f>XM.HN!D63</f>
        <v>5.8</v>
      </c>
      <c r="W94" s="1767">
        <f>(V94*0.126)/100</f>
        <v>7.3080000000000003E-3</v>
      </c>
      <c r="X94" s="2465">
        <f>($G$94-W94)*2808/65%/1.51</f>
        <v>-0.88116556291390757</v>
      </c>
      <c r="Y94" s="1738" t="s">
        <v>8</v>
      </c>
      <c r="Z94" s="1768">
        <f t="shared" si="14"/>
        <v>0</v>
      </c>
      <c r="AA94" s="2037" t="str">
        <f>IF('3.XT-C TT'!AJ22="","",'3.XT-C TT'!AJ22)</f>
        <v/>
      </c>
      <c r="AB94" s="1744" t="s">
        <v>10</v>
      </c>
      <c r="AC94" s="2517">
        <f>XM.HN!E63</f>
        <v>0</v>
      </c>
      <c r="AD94" s="1767">
        <f>(AC94*0.126)/100</f>
        <v>0</v>
      </c>
      <c r="AE94" s="2465">
        <f>($G$94-AD94)*2808/65%/1.51</f>
        <v>20.026490066225165</v>
      </c>
      <c r="AF94" s="1738" t="s">
        <v>8</v>
      </c>
      <c r="AG94" s="1768">
        <f t="shared" si="15"/>
        <v>0</v>
      </c>
      <c r="AH94" s="2037" t="str">
        <f>IF('3.XT-C TT(CA2)'!AB22="","",'3.XT-C TT(CA2)'!AB22)</f>
        <v/>
      </c>
      <c r="AI94" s="1744" t="s">
        <v>10</v>
      </c>
      <c r="AJ94" s="2517">
        <f>XM.HN!F63</f>
        <v>0</v>
      </c>
      <c r="AK94" s="1767">
        <f>(AJ94*0.126)/100</f>
        <v>0</v>
      </c>
      <c r="AL94" s="2465">
        <f>($G$94-AK94)*2808/65%/1.51</f>
        <v>20.026490066225165</v>
      </c>
      <c r="AM94" s="1738" t="s">
        <v>8</v>
      </c>
      <c r="AN94" s="1768">
        <f t="shared" si="16"/>
        <v>0</v>
      </c>
      <c r="AO94" s="2037" t="str">
        <f>IF('3.XT-C TT(CA2)'!AF22="","",'3.XT-C TT(CA2)'!AF22)</f>
        <v/>
      </c>
      <c r="AP94" s="1744" t="s">
        <v>10</v>
      </c>
      <c r="AQ94" s="2517">
        <f>XM.HN!G63</f>
        <v>0</v>
      </c>
      <c r="AR94" s="1767">
        <f>(AQ94*0.126)/100</f>
        <v>0</v>
      </c>
      <c r="AS94" s="2465">
        <f>($G$94-AR94)*2808/65%/1.51</f>
        <v>20.026490066225165</v>
      </c>
      <c r="AT94" s="1738" t="s">
        <v>8</v>
      </c>
      <c r="AU94" s="1768">
        <f t="shared" si="17"/>
        <v>0</v>
      </c>
      <c r="AV94" s="2037" t="str">
        <f>IF('3.XT-C TT(CA2)'!AJ22="","",'3.XT-C TT(CA2)'!AJ22)</f>
        <v/>
      </c>
      <c r="AW94" s="1740" t="s">
        <v>10</v>
      </c>
      <c r="AY94" s="2158"/>
      <c r="AZ94" s="1043"/>
      <c r="BA94" s="1043"/>
      <c r="BB94" s="1043"/>
      <c r="BC94" s="1043"/>
      <c r="BD94" s="1043"/>
      <c r="BE94" s="1043"/>
      <c r="BF94" s="1043"/>
      <c r="BG94" s="1043"/>
      <c r="BH94" s="1043"/>
      <c r="BI94" s="1043"/>
      <c r="BJ94" s="1043"/>
      <c r="BK94" s="1043"/>
    </row>
    <row r="95" spans="1:63" ht="39.75" customHeight="1">
      <c r="A95" s="1712" t="s">
        <v>295</v>
      </c>
      <c r="B95" s="1031" t="s">
        <v>126</v>
      </c>
      <c r="C95" s="291" t="s">
        <v>1545</v>
      </c>
      <c r="D95" s="2168" t="s">
        <v>3</v>
      </c>
      <c r="E95" s="2171" t="s">
        <v>1330</v>
      </c>
      <c r="F95" s="1896" t="s">
        <v>1311</v>
      </c>
      <c r="G95" s="2613">
        <v>6</v>
      </c>
      <c r="H95" s="2517">
        <f>XM.HN!B64</f>
        <v>5.45</v>
      </c>
      <c r="I95" s="2176">
        <f>IF(XM.HN!B64="","",H95*0.8+1.4)</f>
        <v>5.76</v>
      </c>
      <c r="J95" s="2467">
        <f>($G$95-I95)*4042/95*0.88</f>
        <v>8.9860042105263229</v>
      </c>
      <c r="K95" s="1738" t="s">
        <v>8</v>
      </c>
      <c r="L95" s="1866">
        <f>IF(I95="","",(IF(J95&lt;0,0,J95)))</f>
        <v>8.9860042105263229</v>
      </c>
      <c r="M95" s="2037" t="str">
        <f>IF('3.XT-C TT'!AB23="","",'3.XT-C TT'!AB23)</f>
        <v/>
      </c>
      <c r="N95" s="1744" t="s">
        <v>10</v>
      </c>
      <c r="O95" s="2517">
        <f>XM.HN!C64</f>
        <v>5.4</v>
      </c>
      <c r="P95" s="2176">
        <f>IF(XM.HN!C64="","",O95*0.8+1.4)</f>
        <v>5.7200000000000006</v>
      </c>
      <c r="Q95" s="2467">
        <f>($G$95-P95)*4042/95*0.88</f>
        <v>10.483671578947346</v>
      </c>
      <c r="R95" s="1738" t="s">
        <v>8</v>
      </c>
      <c r="S95" s="1866">
        <f>IF(P95="","",(IF(Q95&lt;0,0,Q95)))</f>
        <v>10.483671578947346</v>
      </c>
      <c r="T95" s="2037" t="str">
        <f>IF('3.XT-C TT'!AF23="","",'3.XT-C TT'!AF23)</f>
        <v/>
      </c>
      <c r="U95" s="1744" t="s">
        <v>10</v>
      </c>
      <c r="V95" s="2517">
        <f>XM.HN!D64</f>
        <v>5.4</v>
      </c>
      <c r="W95" s="2176">
        <f>IF(XM.HN!D64="","",V95*0.8+1.4)</f>
        <v>5.7200000000000006</v>
      </c>
      <c r="X95" s="2467">
        <f>($G$95-W95)*4042/95*0.88</f>
        <v>10.483671578947346</v>
      </c>
      <c r="Y95" s="1738" t="s">
        <v>8</v>
      </c>
      <c r="Z95" s="1866">
        <f>IF(W95="","",(IF(X95&lt;0,0,X95)))</f>
        <v>10.483671578947346</v>
      </c>
      <c r="AA95" s="2037" t="str">
        <f>IF('3.XT-C TT'!AJ23="","",'3.XT-C TT'!AJ23)</f>
        <v/>
      </c>
      <c r="AB95" s="1740" t="s">
        <v>10</v>
      </c>
      <c r="AC95" s="2517">
        <f>XM.HN!E64</f>
        <v>0</v>
      </c>
      <c r="AD95" s="2176" t="str">
        <f>IF(XM.HN!E64="","",AC95*0.8+1.4)</f>
        <v/>
      </c>
      <c r="AE95" s="2467" t="e">
        <f>($G$95-AD95)*4042/95*0.88</f>
        <v>#VALUE!</v>
      </c>
      <c r="AF95" s="1738" t="s">
        <v>8</v>
      </c>
      <c r="AG95" s="1866" t="str">
        <f>IF(AD95="","",(IF(AE95&lt;0,0,AE95)))</f>
        <v/>
      </c>
      <c r="AH95" s="2037" t="str">
        <f>IF('3.XT-C TT(CA2)'!AB23="","",'3.XT-C TT(CA2)'!AB23)</f>
        <v/>
      </c>
      <c r="AI95" s="1744" t="s">
        <v>10</v>
      </c>
      <c r="AJ95" s="2517">
        <f>XM.HN!F64</f>
        <v>0</v>
      </c>
      <c r="AK95" s="2176" t="str">
        <f>IF(XM.HN!F64="","",AJ95*0.8+1.4)</f>
        <v/>
      </c>
      <c r="AL95" s="2467" t="e">
        <f>($G$95-AK95)*4042/95*0.88</f>
        <v>#VALUE!</v>
      </c>
      <c r="AM95" s="1738" t="s">
        <v>8</v>
      </c>
      <c r="AN95" s="1866" t="str">
        <f>IF(AK95="","",(IF(AL95&lt;0,0,AL95)))</f>
        <v/>
      </c>
      <c r="AO95" s="2037" t="str">
        <f>IF('3.XT-C TT(CA2)'!AF23="","",'3.XT-C TT(CA2)'!AF23)</f>
        <v/>
      </c>
      <c r="AP95" s="1744" t="s">
        <v>10</v>
      </c>
      <c r="AQ95" s="2517">
        <f>XM.HN!G64</f>
        <v>0</v>
      </c>
      <c r="AR95" s="2176" t="str">
        <f>IF(XM.HN!G64="","",AQ95*0.8+1.4)</f>
        <v/>
      </c>
      <c r="AS95" s="2467" t="e">
        <f>($G$95-AR95)*4042/95*0.88</f>
        <v>#VALUE!</v>
      </c>
      <c r="AT95" s="1738" t="s">
        <v>8</v>
      </c>
      <c r="AU95" s="1866" t="str">
        <f>IF(AR95="","",(IF(AS95&lt;0,0,AS95)))</f>
        <v/>
      </c>
      <c r="AV95" s="2037" t="str">
        <f>IF('3.XT-C TT(CA2)'!AJ23="","",'3.XT-C TT(CA2)'!AJ23)</f>
        <v/>
      </c>
      <c r="AW95" s="1740" t="s">
        <v>10</v>
      </c>
      <c r="AY95" s="3345"/>
      <c r="AZ95" s="1043"/>
      <c r="BA95" s="1043"/>
      <c r="BB95" s="1043"/>
      <c r="BC95" s="1043"/>
      <c r="BD95" s="1043"/>
      <c r="BE95" s="1043"/>
      <c r="BF95" s="1043"/>
      <c r="BG95" s="1043"/>
      <c r="BH95" s="1043"/>
      <c r="BI95" s="1043"/>
      <c r="BJ95" s="1043"/>
      <c r="BK95" s="1043"/>
    </row>
    <row r="96" spans="1:63" ht="39.75" customHeight="1">
      <c r="A96" s="1712" t="s">
        <v>296</v>
      </c>
      <c r="B96" s="1031" t="s">
        <v>126</v>
      </c>
      <c r="C96" s="2269" t="str">
        <f>MENU!AE45</f>
        <v>Pha mới: 2024/06/22</v>
      </c>
      <c r="D96" s="2168" t="s">
        <v>5</v>
      </c>
      <c r="E96" s="2171" t="s">
        <v>1300</v>
      </c>
      <c r="F96" s="1896" t="s">
        <v>1544</v>
      </c>
      <c r="G96" s="2613"/>
      <c r="H96" s="2514"/>
      <c r="I96" s="1761">
        <f>XM.HN!B65</f>
        <v>2.0299999999999998</v>
      </c>
      <c r="J96" s="2467"/>
      <c r="K96" s="1738"/>
      <c r="L96" s="1739"/>
      <c r="M96" s="2037" t="str">
        <f>IF('3.XT-C TT'!AB24="","",'3.XT-C TT'!AB24)</f>
        <v/>
      </c>
      <c r="N96" s="1744"/>
      <c r="O96" s="2517"/>
      <c r="P96" s="1761">
        <f>XM.HN!C65</f>
        <v>2</v>
      </c>
      <c r="Q96" s="2467"/>
      <c r="R96" s="1738"/>
      <c r="S96" s="1739"/>
      <c r="T96" s="2037" t="str">
        <f>IF('3.XT-C TT'!AF24="","",'3.XT-C TT'!AF24)</f>
        <v/>
      </c>
      <c r="U96" s="1740"/>
      <c r="V96" s="2517"/>
      <c r="W96" s="1761">
        <f>XM.HN!D65</f>
        <v>2.0499999999999998</v>
      </c>
      <c r="X96" s="2467"/>
      <c r="Y96" s="1738"/>
      <c r="Z96" s="1739"/>
      <c r="AA96" s="2037" t="str">
        <f>IF('3.XT-C TT'!AJ24="","",'3.XT-C TT'!AJ24)</f>
        <v/>
      </c>
      <c r="AB96" s="1744"/>
      <c r="AC96" s="2517"/>
      <c r="AD96" s="1761">
        <f>XM.HN!E65</f>
        <v>0</v>
      </c>
      <c r="AE96" s="2467"/>
      <c r="AF96" s="1738"/>
      <c r="AG96" s="1739"/>
      <c r="AH96" s="2037" t="str">
        <f>IF('3.XT-C TT(CA2)'!AB24="","",'3.XT-C TT(CA2)'!AB24)</f>
        <v/>
      </c>
      <c r="AI96" s="1744"/>
      <c r="AJ96" s="2517"/>
      <c r="AK96" s="1761">
        <f>XM.HN!F65</f>
        <v>0</v>
      </c>
      <c r="AL96" s="2578"/>
      <c r="AM96" s="1728"/>
      <c r="AN96" s="1738"/>
      <c r="AO96" s="1739" t="str">
        <f>IF('3.XT-C TT(CA2)'!AF24="","",'3.XT-C TT(CA2)'!AF24)</f>
        <v/>
      </c>
      <c r="AP96" s="2037"/>
      <c r="AQ96" s="2579"/>
      <c r="AR96" s="1761">
        <f>XM.HN!G65</f>
        <v>0</v>
      </c>
      <c r="AS96" s="2464"/>
      <c r="AT96" s="1728"/>
      <c r="AU96" s="1729"/>
      <c r="AV96" s="1729"/>
      <c r="AW96" s="1771"/>
      <c r="AY96" s="3346"/>
      <c r="AZ96" s="1043"/>
      <c r="BA96" s="1043"/>
      <c r="BB96" s="1043"/>
      <c r="BC96" s="1043"/>
      <c r="BD96" s="1043"/>
      <c r="BE96" s="1043"/>
      <c r="BF96" s="1043"/>
      <c r="BG96" s="1043"/>
      <c r="BH96" s="1043"/>
      <c r="BI96" s="1043"/>
      <c r="BJ96" s="1043"/>
      <c r="BK96" s="1043"/>
    </row>
    <row r="97" spans="1:63" ht="39.75" hidden="1" customHeight="1">
      <c r="A97" s="1712"/>
      <c r="B97" s="1178"/>
      <c r="C97" s="1342" t="s">
        <v>1259</v>
      </c>
      <c r="D97" s="272" t="s">
        <v>3</v>
      </c>
      <c r="E97" s="45" t="s">
        <v>1302</v>
      </c>
      <c r="F97" s="1896" t="s">
        <v>1292</v>
      </c>
      <c r="G97" s="2613">
        <v>12</v>
      </c>
      <c r="H97" s="2517">
        <f>XM.HN!B67</f>
        <v>0</v>
      </c>
      <c r="I97" s="1726" t="str">
        <f>IF(XM.HN!B67="","",(H97*10/6.95))</f>
        <v/>
      </c>
      <c r="J97" s="2465" t="e">
        <f>($G$97-I97)*3360/100</f>
        <v>#VALUE!</v>
      </c>
      <c r="K97" s="1738" t="s">
        <v>8</v>
      </c>
      <c r="L97" s="1739" t="str">
        <f>IF(I97="","",(IF(J97&lt;0,0,J97)))</f>
        <v/>
      </c>
      <c r="M97" s="1769"/>
      <c r="N97" s="1740" t="s">
        <v>10</v>
      </c>
      <c r="O97" s="2510">
        <f>XM.HN!C67</f>
        <v>0</v>
      </c>
      <c r="P97" s="1398" t="str">
        <f>IF(XM.HN!C67="","",(O97*10/6.95))</f>
        <v/>
      </c>
      <c r="Q97" s="2640" t="e">
        <f>($G$97-P97)*3360/100</f>
        <v>#VALUE!</v>
      </c>
      <c r="R97" s="1738" t="s">
        <v>8</v>
      </c>
      <c r="S97" s="1739" t="str">
        <f>IF(P97="","",(IF(Q97&lt;0,0,Q97)))</f>
        <v/>
      </c>
      <c r="T97" s="1769"/>
      <c r="U97" s="1740" t="s">
        <v>10</v>
      </c>
      <c r="V97" s="2542">
        <f>XM.HN!D67</f>
        <v>0</v>
      </c>
      <c r="W97" s="1726" t="str">
        <f>IF(XM.HN!D67="","",(V97*10/6.95))</f>
        <v/>
      </c>
      <c r="X97" s="2465" t="e">
        <f>($G$97-W97)*3360/100</f>
        <v>#VALUE!</v>
      </c>
      <c r="Y97" s="1738" t="s">
        <v>8</v>
      </c>
      <c r="Z97" s="1739" t="str">
        <f>IF(W97="","",(IF(X97&lt;0,0,X97)))</f>
        <v/>
      </c>
      <c r="AA97" s="1769"/>
      <c r="AB97" s="1740" t="s">
        <v>10</v>
      </c>
      <c r="AC97" s="2510">
        <f>XM.HN!E67</f>
        <v>0</v>
      </c>
      <c r="AD97" s="1726" t="str">
        <f>IF(XM.HN!E67="","",(AC97*10/6.95))</f>
        <v/>
      </c>
      <c r="AE97" s="2465" t="e">
        <f>($G$97-AD97)*3360/100</f>
        <v>#VALUE!</v>
      </c>
      <c r="AF97" s="1738" t="s">
        <v>8</v>
      </c>
      <c r="AG97" s="1739" t="str">
        <f>IF(AD97="","",(IF(AE97&lt;0,0,AE97)))</f>
        <v/>
      </c>
      <c r="AH97" s="1769"/>
      <c r="AI97" s="1740" t="s">
        <v>10</v>
      </c>
      <c r="AJ97" s="2510">
        <f>XM.HN!F67</f>
        <v>0</v>
      </c>
      <c r="AK97" s="1398" t="str">
        <f>IF(XM.HN!F67="","",(AJ97*10/6.95))</f>
        <v/>
      </c>
      <c r="AL97" s="2640" t="e">
        <f>($G$97-AK97)*3360/100</f>
        <v>#VALUE!</v>
      </c>
      <c r="AM97" s="1738" t="s">
        <v>8</v>
      </c>
      <c r="AN97" s="1739" t="str">
        <f>IF(AK97="","",(IF(AL97&lt;0,0,AL97)))</f>
        <v/>
      </c>
      <c r="AO97" s="1769"/>
      <c r="AP97" s="1740" t="s">
        <v>10</v>
      </c>
      <c r="AQ97" s="2510">
        <f>XM.HN!G67</f>
        <v>0</v>
      </c>
      <c r="AR97" s="1726" t="str">
        <f>IF(XM.HN!G67="","",(AQ97*10/6.95))</f>
        <v/>
      </c>
      <c r="AS97" s="2465" t="e">
        <f>($G$97-AR97)*3360/100</f>
        <v>#VALUE!</v>
      </c>
      <c r="AT97" s="1738" t="s">
        <v>8</v>
      </c>
      <c r="AU97" s="1739" t="str">
        <f>IF(AR97="","",(IF(AS97&lt;0,0,AS97)))</f>
        <v/>
      </c>
      <c r="AV97" s="1769"/>
      <c r="AW97" s="1740" t="s">
        <v>10</v>
      </c>
      <c r="AY97" s="2158"/>
      <c r="AZ97" s="1043"/>
      <c r="BA97" s="1043"/>
      <c r="BB97" s="1043"/>
      <c r="BC97" s="1043"/>
      <c r="BD97" s="1043"/>
      <c r="BE97" s="1043"/>
      <c r="BF97" s="1043"/>
      <c r="BG97" s="1043"/>
      <c r="BH97" s="1043"/>
      <c r="BI97" s="1043"/>
      <c r="BJ97" s="1043"/>
      <c r="BK97" s="1043"/>
    </row>
    <row r="98" spans="1:63" ht="39.75" hidden="1" customHeight="1">
      <c r="A98" s="1712"/>
      <c r="B98" s="1178"/>
      <c r="C98" s="1343" t="s">
        <v>119</v>
      </c>
      <c r="D98" s="272" t="s">
        <v>5</v>
      </c>
      <c r="E98" s="45" t="s">
        <v>1300</v>
      </c>
      <c r="F98" s="1896" t="s">
        <v>1293</v>
      </c>
      <c r="G98" s="2613"/>
      <c r="H98" s="2514"/>
      <c r="I98" s="1731">
        <f>XM.HN!B68</f>
        <v>0</v>
      </c>
      <c r="J98" s="2464"/>
      <c r="K98" s="1734"/>
      <c r="L98" s="1734"/>
      <c r="M98" s="1774"/>
      <c r="N98" s="1735"/>
      <c r="O98" s="2517"/>
      <c r="P98" s="1605">
        <f>XM.HN!C68</f>
        <v>0</v>
      </c>
      <c r="Q98" s="2641"/>
      <c r="R98" s="1734"/>
      <c r="S98" s="1734"/>
      <c r="T98" s="1774"/>
      <c r="U98" s="1735"/>
      <c r="V98" s="2542"/>
      <c r="W98" s="1731">
        <f>XM.HN!D68</f>
        <v>0</v>
      </c>
      <c r="X98" s="2476"/>
      <c r="Y98" s="1741"/>
      <c r="Z98" s="1734"/>
      <c r="AA98" s="1774"/>
      <c r="AB98" s="1740"/>
      <c r="AC98" s="2510"/>
      <c r="AD98" s="1731">
        <f>XM.HN!E68</f>
        <v>0</v>
      </c>
      <c r="AE98" s="2476"/>
      <c r="AF98" s="1741"/>
      <c r="AG98" s="1734"/>
      <c r="AH98" s="1774"/>
      <c r="AI98" s="1740"/>
      <c r="AJ98" s="2510"/>
      <c r="AK98" s="1605">
        <f>XM.HN!F68</f>
        <v>0</v>
      </c>
      <c r="AL98" s="2641"/>
      <c r="AM98" s="1734"/>
      <c r="AN98" s="1734"/>
      <c r="AO98" s="1774"/>
      <c r="AP98" s="1735"/>
      <c r="AQ98" s="2510"/>
      <c r="AR98" s="1731">
        <f>XM.HN!G68</f>
        <v>0</v>
      </c>
      <c r="AS98" s="2626"/>
      <c r="AT98" s="1734"/>
      <c r="AU98" s="1734"/>
      <c r="AV98" s="1774"/>
      <c r="AW98" s="1771"/>
      <c r="AY98" s="2158"/>
      <c r="AZ98" s="1043"/>
      <c r="BA98" s="1043"/>
      <c r="BB98" s="1043"/>
      <c r="BC98" s="1043"/>
      <c r="BD98" s="1043"/>
      <c r="BE98" s="1043"/>
      <c r="BF98" s="1043"/>
      <c r="BG98" s="1043"/>
      <c r="BH98" s="1043"/>
      <c r="BI98" s="1043"/>
      <c r="BJ98" s="1043"/>
      <c r="BK98" s="1043"/>
    </row>
    <row r="99" spans="1:63" ht="39.75" hidden="1" customHeight="1">
      <c r="A99" s="1719" t="s">
        <v>306</v>
      </c>
      <c r="B99" s="1031" t="s">
        <v>126</v>
      </c>
      <c r="C99" s="210" t="s">
        <v>192</v>
      </c>
      <c r="D99" s="207" t="s">
        <v>4</v>
      </c>
      <c r="E99" s="45" t="s">
        <v>1336</v>
      </c>
      <c r="F99" s="1896" t="s">
        <v>1499</v>
      </c>
      <c r="G99" s="2615">
        <v>5.5</v>
      </c>
      <c r="H99" s="2514">
        <f>XM.HN!B71</f>
        <v>0</v>
      </c>
      <c r="I99" s="1726" t="str">
        <f>IF(XM.HN!B71="","",H99*1.3)</f>
        <v/>
      </c>
      <c r="J99" s="2465" t="e">
        <f>($G$99-I99)*8000/1000</f>
        <v>#VALUE!</v>
      </c>
      <c r="K99" s="1738" t="s">
        <v>8</v>
      </c>
      <c r="L99" s="1739" t="str">
        <f>IF($I$99="","",IF(J99&lt;0,0,J99))</f>
        <v/>
      </c>
      <c r="M99" s="1769"/>
      <c r="N99" s="1740" t="s">
        <v>9</v>
      </c>
      <c r="O99" s="2535">
        <f>XM.HN!C71</f>
        <v>0</v>
      </c>
      <c r="P99" s="1726" t="str">
        <f>IF(XM.HN!C71="","",O99*1.3)</f>
        <v/>
      </c>
      <c r="Q99" s="2465" t="e">
        <f>($G$99-P99)*8000/1000</f>
        <v>#VALUE!</v>
      </c>
      <c r="R99" s="1738" t="s">
        <v>8</v>
      </c>
      <c r="S99" s="1739" t="str">
        <f>IF($P$99="","",IF(Q99&lt;0,0,Q99))</f>
        <v/>
      </c>
      <c r="T99" s="1769"/>
      <c r="U99" s="1740" t="s">
        <v>9</v>
      </c>
      <c r="V99" s="2535">
        <f>XM.HN!D71</f>
        <v>0</v>
      </c>
      <c r="W99" s="1726" t="str">
        <f>IF(XM.HN!D71="","",V99*1.3)</f>
        <v/>
      </c>
      <c r="X99" s="2465" t="e">
        <f>($G$99-W99)*8000/1000</f>
        <v>#VALUE!</v>
      </c>
      <c r="Y99" s="1738" t="s">
        <v>8</v>
      </c>
      <c r="Z99" s="1739" t="str">
        <f>IF($W$99="","",IF(X99&lt;0,0,X99))</f>
        <v/>
      </c>
      <c r="AA99" s="1769"/>
      <c r="AB99" s="1740" t="s">
        <v>9</v>
      </c>
      <c r="AC99" s="2562">
        <f>XM.HN!E71</f>
        <v>0</v>
      </c>
      <c r="AD99" s="1726" t="str">
        <f>IF(XM.HN!E71="","",AC99*1.3)</f>
        <v/>
      </c>
      <c r="AE99" s="2465" t="e">
        <f>($G$99-AD99)*8000/1000</f>
        <v>#VALUE!</v>
      </c>
      <c r="AF99" s="1738" t="s">
        <v>8</v>
      </c>
      <c r="AG99" s="1739" t="str">
        <f>IF($AD$99="","",IF(AE99&lt;0,0,AE99))</f>
        <v/>
      </c>
      <c r="AH99" s="1769"/>
      <c r="AI99" s="1740" t="s">
        <v>9</v>
      </c>
      <c r="AJ99" s="2517">
        <f>XM.HN!F71</f>
        <v>0</v>
      </c>
      <c r="AK99" s="1726" t="str">
        <f>IF(XM.HN!E71="","",AJ99*1.3)</f>
        <v/>
      </c>
      <c r="AL99" s="2465" t="e">
        <f>($G$99-AK99)*8000/1000</f>
        <v>#VALUE!</v>
      </c>
      <c r="AM99" s="1738" t="s">
        <v>8</v>
      </c>
      <c r="AN99" s="1739" t="str">
        <f>IF($AK$99="","",IF(AL99&lt;0,0,AL99))</f>
        <v/>
      </c>
      <c r="AO99" s="1769"/>
      <c r="AP99" s="1740" t="s">
        <v>9</v>
      </c>
      <c r="AQ99" s="2518">
        <f>XM.HN!G71</f>
        <v>0</v>
      </c>
      <c r="AR99" s="1726" t="str">
        <f>IF(XM.HN!G71="","",AQ99*1.3)</f>
        <v/>
      </c>
      <c r="AS99" s="2465" t="e">
        <f>($G$99-AR99)*8000/1000</f>
        <v>#VALUE!</v>
      </c>
      <c r="AT99" s="1738" t="s">
        <v>8</v>
      </c>
      <c r="AU99" s="1739" t="str">
        <f>IF($AR$99="","",IF(AS99&lt;0,0,AS99))</f>
        <v/>
      </c>
      <c r="AV99" s="1769"/>
      <c r="AW99" s="1740" t="s">
        <v>9</v>
      </c>
      <c r="AY99" s="2158"/>
      <c r="AZ99" s="1043"/>
      <c r="BA99" s="1043"/>
      <c r="BB99" s="1043"/>
      <c r="BC99" s="1043"/>
      <c r="BD99" s="1043"/>
      <c r="BE99" s="1043"/>
      <c r="BF99" s="1043"/>
      <c r="BG99" s="1043"/>
      <c r="BH99" s="1043"/>
      <c r="BI99" s="1043"/>
      <c r="BJ99" s="1043"/>
      <c r="BK99" s="1043"/>
    </row>
    <row r="100" spans="1:63" ht="39.75" hidden="1" customHeight="1">
      <c r="A100" s="1719" t="s">
        <v>307</v>
      </c>
      <c r="B100" s="1031" t="s">
        <v>126</v>
      </c>
      <c r="C100" s="210" t="s">
        <v>191</v>
      </c>
      <c r="D100" s="207" t="s">
        <v>4</v>
      </c>
      <c r="E100" s="2143" t="s">
        <v>1505</v>
      </c>
      <c r="F100" s="2138" t="s">
        <v>1504</v>
      </c>
      <c r="G100" s="2613">
        <v>135</v>
      </c>
      <c r="H100" s="2514">
        <f>XM.HN!B72</f>
        <v>0</v>
      </c>
      <c r="I100" s="1775">
        <f>H100*8</f>
        <v>0</v>
      </c>
      <c r="J100" s="2465">
        <f>($G$100-I100)*8000/1000</f>
        <v>1080</v>
      </c>
      <c r="K100" s="1738" t="s">
        <v>8</v>
      </c>
      <c r="L100" s="1739" t="str">
        <f t="shared" ref="L100" si="30">IF($I$99="","",IF(J100&lt;0,0,J100))</f>
        <v/>
      </c>
      <c r="M100" s="1769"/>
      <c r="N100" s="1740" t="s">
        <v>9</v>
      </c>
      <c r="O100" s="2535">
        <f>XM.HN!C72</f>
        <v>0</v>
      </c>
      <c r="P100" s="1775">
        <f>O100*8</f>
        <v>0</v>
      </c>
      <c r="Q100" s="2465">
        <f>($G$100-P100)*8000/1000</f>
        <v>1080</v>
      </c>
      <c r="R100" s="1738" t="s">
        <v>8</v>
      </c>
      <c r="S100" s="1739" t="str">
        <f>IF($P$99="","",IF(Q100&lt;0,0,Q100))</f>
        <v/>
      </c>
      <c r="T100" s="1769"/>
      <c r="U100" s="1740" t="s">
        <v>9</v>
      </c>
      <c r="V100" s="2535">
        <f>XM.HN!D72</f>
        <v>0</v>
      </c>
      <c r="W100" s="1775">
        <f>V100*8</f>
        <v>0</v>
      </c>
      <c r="X100" s="2465">
        <f>($G$100-W100)*8000/1000</f>
        <v>1080</v>
      </c>
      <c r="Y100" s="1738" t="s">
        <v>8</v>
      </c>
      <c r="Z100" s="1739" t="str">
        <f t="shared" ref="Z100" si="31">IF($W$99="","",IF(X100&lt;0,0,X100))</f>
        <v/>
      </c>
      <c r="AA100" s="1769"/>
      <c r="AB100" s="1740" t="s">
        <v>9</v>
      </c>
      <c r="AC100" s="2562">
        <f>XM.HN!E72</f>
        <v>0</v>
      </c>
      <c r="AD100" s="1775">
        <f>AC100*8</f>
        <v>0</v>
      </c>
      <c r="AE100" s="2465">
        <f>($G$100-AD100)*8000/1000</f>
        <v>1080</v>
      </c>
      <c r="AF100" s="1738" t="s">
        <v>8</v>
      </c>
      <c r="AG100" s="1739" t="str">
        <f t="shared" ref="AG100" si="32">IF($AD$99="","",IF(AE100&lt;0,0,AE100))</f>
        <v/>
      </c>
      <c r="AH100" s="1769"/>
      <c r="AI100" s="1740" t="s">
        <v>9</v>
      </c>
      <c r="AJ100" s="2517">
        <f>XM.HN!F72</f>
        <v>0</v>
      </c>
      <c r="AK100" s="1775">
        <f>AJ100*8</f>
        <v>0</v>
      </c>
      <c r="AL100" s="2465">
        <f>($G$100-AK100)*8000/1000</f>
        <v>1080</v>
      </c>
      <c r="AM100" s="1738" t="s">
        <v>8</v>
      </c>
      <c r="AN100" s="1739" t="str">
        <f>IF($AK$99="","",IF(AL100&lt;0,0,AL100))</f>
        <v/>
      </c>
      <c r="AO100" s="1769"/>
      <c r="AP100" s="1740" t="s">
        <v>9</v>
      </c>
      <c r="AQ100" s="2518">
        <f>XM.HN!G72</f>
        <v>0</v>
      </c>
      <c r="AR100" s="1775">
        <f>AQ100*8</f>
        <v>0</v>
      </c>
      <c r="AS100" s="2465">
        <f>($G$100-AR100)*8000/1000</f>
        <v>1080</v>
      </c>
      <c r="AT100" s="1738" t="s">
        <v>8</v>
      </c>
      <c r="AU100" s="1739" t="str">
        <f t="shared" ref="AU100" si="33">IF($AR$99="","",IF(AS100&lt;0,0,AS100))</f>
        <v/>
      </c>
      <c r="AV100" s="1769"/>
      <c r="AW100" s="1740" t="s">
        <v>9</v>
      </c>
      <c r="AY100" s="2158"/>
      <c r="AZ100" s="1043"/>
      <c r="BA100" s="1043"/>
      <c r="BB100" s="1043"/>
      <c r="BC100" s="1043"/>
      <c r="BD100" s="1043"/>
      <c r="BE100" s="1043"/>
      <c r="BF100" s="1043"/>
      <c r="BG100" s="1043"/>
      <c r="BH100" s="1043"/>
      <c r="BI100" s="1043"/>
      <c r="BJ100" s="1043"/>
      <c r="BK100" s="1043"/>
    </row>
    <row r="101" spans="1:63" ht="39.75" hidden="1" customHeight="1">
      <c r="A101" s="1719" t="s">
        <v>308</v>
      </c>
      <c r="B101" s="1031" t="s">
        <v>126</v>
      </c>
      <c r="C101" s="208" t="s">
        <v>193</v>
      </c>
      <c r="D101" s="207" t="s">
        <v>119</v>
      </c>
      <c r="E101" s="41" t="s">
        <v>1303</v>
      </c>
      <c r="F101" s="1896" t="s">
        <v>1294</v>
      </c>
      <c r="G101" s="2613"/>
      <c r="H101" s="2514"/>
      <c r="I101" s="1726">
        <f>XM.HN!B73</f>
        <v>0</v>
      </c>
      <c r="J101" s="2626"/>
      <c r="K101" s="1728"/>
      <c r="L101" s="1729"/>
      <c r="M101" s="1776"/>
      <c r="N101" s="1771"/>
      <c r="O101" s="2535"/>
      <c r="P101" s="1726">
        <f>XM.HN!C73</f>
        <v>0</v>
      </c>
      <c r="Q101" s="2626"/>
      <c r="R101" s="1728"/>
      <c r="S101" s="1729"/>
      <c r="T101" s="1776"/>
      <c r="U101" s="1771"/>
      <c r="V101" s="2535"/>
      <c r="W101" s="1726">
        <f>XM.HN!D73</f>
        <v>0</v>
      </c>
      <c r="X101" s="2626"/>
      <c r="Y101" s="1728"/>
      <c r="Z101" s="1729"/>
      <c r="AA101" s="1776"/>
      <c r="AB101" s="1753"/>
      <c r="AC101" s="2562"/>
      <c r="AD101" s="1726">
        <f>XM.HN!E73</f>
        <v>0</v>
      </c>
      <c r="AE101" s="2626"/>
      <c r="AF101" s="1728"/>
      <c r="AG101" s="1729"/>
      <c r="AH101" s="1776"/>
      <c r="AI101" s="1771"/>
      <c r="AJ101" s="2657"/>
      <c r="AK101" s="1726">
        <f>XM.HN!F73</f>
        <v>0</v>
      </c>
      <c r="AL101" s="2626"/>
      <c r="AM101" s="1728"/>
      <c r="AN101" s="1729"/>
      <c r="AO101" s="1776"/>
      <c r="AP101" s="1771"/>
      <c r="AQ101" s="2635"/>
      <c r="AR101" s="1726">
        <f>XM.HN!G73</f>
        <v>0</v>
      </c>
      <c r="AS101" s="2626"/>
      <c r="AT101" s="1762"/>
      <c r="AU101" s="1729"/>
      <c r="AV101" s="1776"/>
      <c r="AW101" s="1771"/>
      <c r="AY101" s="2158"/>
      <c r="AZ101" s="1043"/>
      <c r="BA101" s="1043"/>
      <c r="BB101" s="1043"/>
      <c r="BC101" s="1043"/>
      <c r="BD101" s="1043"/>
      <c r="BE101" s="1043"/>
      <c r="BF101" s="1043"/>
      <c r="BG101" s="1043"/>
      <c r="BH101" s="1043"/>
      <c r="BI101" s="1043"/>
      <c r="BJ101" s="1043"/>
      <c r="BK101" s="1043"/>
    </row>
    <row r="102" spans="1:63" ht="39.75" hidden="1" customHeight="1">
      <c r="A102" s="2768"/>
      <c r="B102" s="1268"/>
      <c r="C102" s="208" t="s">
        <v>1629</v>
      </c>
      <c r="D102" s="207" t="s">
        <v>1630</v>
      </c>
      <c r="E102" s="41"/>
      <c r="F102" s="1896"/>
      <c r="G102" s="2613">
        <v>60</v>
      </c>
      <c r="H102" s="2514">
        <f>XM.HN!B74</f>
        <v>0</v>
      </c>
      <c r="I102" s="1521" t="str">
        <f>IF(XM.HN!B74="","",H102*5*0.1*36.6-10%*H102*5*0.1*36.6)</f>
        <v/>
      </c>
      <c r="J102" s="2465" t="e">
        <f>($G$102-I102)*3360/1000</f>
        <v>#VALUE!</v>
      </c>
      <c r="K102" s="1738" t="s">
        <v>8</v>
      </c>
      <c r="L102" s="1866" t="str">
        <f>IF(I102="","",(IF(J102&lt;0,0,J102)))</f>
        <v/>
      </c>
      <c r="M102" s="1776"/>
      <c r="N102" s="1740" t="s">
        <v>9</v>
      </c>
      <c r="O102" s="2513">
        <f>XM.HN!C74</f>
        <v>0</v>
      </c>
      <c r="P102" s="1521" t="str">
        <f>IF(XM.HN!C74="","",O102*5*0.1*36.6-10%*O102*5*0.1*36.6)</f>
        <v/>
      </c>
      <c r="Q102" s="2465" t="e">
        <f>($G$102-P102)*3360/1000</f>
        <v>#VALUE!</v>
      </c>
      <c r="R102" s="1738" t="s">
        <v>8</v>
      </c>
      <c r="S102" s="1866" t="str">
        <f>IF(P102="","",(IF(Q102&lt;0,0,Q102)))</f>
        <v/>
      </c>
      <c r="T102" s="1776"/>
      <c r="U102" s="1740" t="s">
        <v>9</v>
      </c>
      <c r="V102" s="2632">
        <f>XM.HN!D74</f>
        <v>0</v>
      </c>
      <c r="W102" s="1521" t="str">
        <f>IF(XM.HN!D74="","",V102*5*0.1*36.6-10%*V102*5*0.1*36.6)</f>
        <v/>
      </c>
      <c r="X102" s="2465" t="e">
        <f>($G$102-W102)*3360/1000</f>
        <v>#VALUE!</v>
      </c>
      <c r="Y102" s="1738" t="s">
        <v>8</v>
      </c>
      <c r="Z102" s="1866" t="str">
        <f>IF(W102="","",(IF(X102&lt;0,0,X102)))</f>
        <v/>
      </c>
      <c r="AA102" s="1776"/>
      <c r="AB102" s="1740" t="s">
        <v>9</v>
      </c>
      <c r="AC102" s="2632">
        <f>XM.HN!E74</f>
        <v>0</v>
      </c>
      <c r="AD102" s="1521" t="str">
        <f>IF(XM.HN!E74="","",AC102*5*0.1*36.6-10%*AC102*5*0.1*36.6)</f>
        <v/>
      </c>
      <c r="AE102" s="2465" t="e">
        <f>($G$102-AD102)*3360/1000</f>
        <v>#VALUE!</v>
      </c>
      <c r="AF102" s="1738" t="s">
        <v>8</v>
      </c>
      <c r="AG102" s="1866" t="str">
        <f>IF(AD102="","",(IF(AE102&lt;0,0,AE102)))</f>
        <v/>
      </c>
      <c r="AH102" s="1776"/>
      <c r="AI102" s="1740" t="s">
        <v>9</v>
      </c>
      <c r="AJ102" s="2632">
        <f>XM.HN!F74</f>
        <v>0</v>
      </c>
      <c r="AK102" s="1521" t="str">
        <f>IF(XM.HN!F74="","",AJ102*5*0.1*36.6-10%*AJ102*5*0.1*36.6)</f>
        <v/>
      </c>
      <c r="AL102" s="2465" t="e">
        <f>($G$102-AK102)*3360/1000</f>
        <v>#VALUE!</v>
      </c>
      <c r="AM102" s="1738" t="s">
        <v>8</v>
      </c>
      <c r="AN102" s="1866" t="str">
        <f>IF(AK102="","",(IF(AL102&lt;0,0,AL102)))</f>
        <v/>
      </c>
      <c r="AO102" s="1776"/>
      <c r="AP102" s="1740" t="s">
        <v>9</v>
      </c>
      <c r="AQ102" s="2518">
        <f>XM.HN!G74</f>
        <v>0</v>
      </c>
      <c r="AR102" s="1521" t="str">
        <f>IF(XM.HN!G74="","",AQ102*5*0.1*36.6-10%*AQ102*5*0.1*36.6)</f>
        <v/>
      </c>
      <c r="AS102" s="2465" t="e">
        <f>($G$102-AR102)*3360/1000</f>
        <v>#VALUE!</v>
      </c>
      <c r="AT102" s="1738" t="s">
        <v>8</v>
      </c>
      <c r="AU102" s="1866" t="str">
        <f>IF(AR102="","",(IF(AS102&lt;0,0,AS102)))</f>
        <v/>
      </c>
      <c r="AV102" s="1776"/>
      <c r="AW102" s="1740" t="s">
        <v>9</v>
      </c>
      <c r="AY102" s="40"/>
      <c r="AZ102" s="1043"/>
      <c r="BA102" s="1043"/>
      <c r="BB102" s="1043"/>
      <c r="BC102" s="1043"/>
      <c r="BD102" s="1043"/>
      <c r="BE102" s="1043"/>
      <c r="BF102" s="1043"/>
      <c r="BG102" s="1043"/>
      <c r="BH102" s="1043"/>
      <c r="BI102" s="1043"/>
      <c r="BJ102" s="1043"/>
      <c r="BK102" s="1043"/>
    </row>
    <row r="103" spans="1:63" s="205" customFormat="1" ht="54" customHeight="1">
      <c r="A103" s="284" t="s">
        <v>72</v>
      </c>
      <c r="B103" s="285"/>
      <c r="C103" s="1399"/>
      <c r="D103" s="1399"/>
      <c r="E103" s="282"/>
      <c r="F103" s="282"/>
      <c r="G103" s="2596"/>
      <c r="H103" s="2470"/>
      <c r="I103" s="1399"/>
      <c r="J103" s="2468"/>
      <c r="K103" s="1399"/>
      <c r="L103" s="1399"/>
      <c r="M103" s="2187"/>
      <c r="N103" s="1399"/>
      <c r="O103" s="2470"/>
      <c r="P103" s="286"/>
      <c r="Q103" s="2468"/>
      <c r="R103" s="1399"/>
      <c r="S103" s="1399"/>
      <c r="T103" s="1621"/>
      <c r="U103" s="286"/>
      <c r="V103" s="2468"/>
      <c r="W103" s="1399"/>
      <c r="X103" s="2468"/>
      <c r="Y103" s="1399"/>
      <c r="Z103" s="1399"/>
      <c r="AA103" s="2187"/>
      <c r="AB103" s="1399"/>
      <c r="AC103" s="2468"/>
      <c r="AD103" s="1399"/>
      <c r="AE103" s="2468"/>
      <c r="AF103" s="1399"/>
      <c r="AG103" s="1399"/>
      <c r="AH103" s="2187"/>
      <c r="AI103" s="1399"/>
      <c r="AJ103" s="2569"/>
      <c r="AK103" s="286"/>
      <c r="AL103" s="2569"/>
      <c r="AM103" s="286"/>
      <c r="AN103" s="286"/>
      <c r="AO103" s="1625"/>
      <c r="AP103" s="286"/>
      <c r="AQ103" s="2569"/>
      <c r="AR103" s="286"/>
      <c r="AS103" s="2569"/>
      <c r="AT103" s="286"/>
      <c r="AU103" s="286"/>
      <c r="AV103" s="1625"/>
      <c r="AW103" s="2121"/>
    </row>
    <row r="104" spans="1:63" ht="50.25" customHeight="1">
      <c r="A104" s="1714" t="s">
        <v>236</v>
      </c>
      <c r="B104" s="1030" t="s">
        <v>315</v>
      </c>
      <c r="C104" s="1028" t="s">
        <v>60</v>
      </c>
      <c r="D104" s="277" t="s">
        <v>62</v>
      </c>
      <c r="E104" s="1382" t="s">
        <v>1290</v>
      </c>
      <c r="F104" s="1888" t="s">
        <v>1289</v>
      </c>
      <c r="G104" s="2597"/>
      <c r="H104" s="2598"/>
      <c r="I104" s="1720" t="s">
        <v>45</v>
      </c>
      <c r="J104" s="2469"/>
      <c r="K104" s="1721"/>
      <c r="L104" s="1721" t="s">
        <v>61</v>
      </c>
      <c r="M104" s="1770"/>
      <c r="N104" s="1722"/>
      <c r="O104" s="2520"/>
      <c r="P104" s="1720" t="s">
        <v>45</v>
      </c>
      <c r="Q104" s="2469"/>
      <c r="R104" s="1721"/>
      <c r="S104" s="1721" t="s">
        <v>61</v>
      </c>
      <c r="T104" s="1770"/>
      <c r="U104" s="1773"/>
      <c r="V104" s="2550"/>
      <c r="W104" s="2235" t="s">
        <v>45</v>
      </c>
      <c r="X104" s="2649"/>
      <c r="Y104" s="1777"/>
      <c r="Z104" s="1777" t="s">
        <v>61</v>
      </c>
      <c r="AA104" s="1778"/>
      <c r="AB104" s="1779"/>
      <c r="AC104" s="2564"/>
      <c r="AD104" s="1720" t="s">
        <v>45</v>
      </c>
      <c r="AE104" s="2469"/>
      <c r="AF104" s="1721"/>
      <c r="AG104" s="1721" t="s">
        <v>61</v>
      </c>
      <c r="AH104" s="1770"/>
      <c r="AI104" s="1773"/>
      <c r="AJ104" s="2550"/>
      <c r="AK104" s="1720" t="s">
        <v>45</v>
      </c>
      <c r="AL104" s="2469"/>
      <c r="AM104" s="1721"/>
      <c r="AN104" s="1721" t="s">
        <v>61</v>
      </c>
      <c r="AO104" s="1770"/>
      <c r="AP104" s="1773"/>
      <c r="AQ104" s="2550"/>
      <c r="AR104" s="1720" t="s">
        <v>45</v>
      </c>
      <c r="AS104" s="2469"/>
      <c r="AT104" s="1721"/>
      <c r="AU104" s="1721" t="s">
        <v>61</v>
      </c>
      <c r="AV104" s="1770"/>
      <c r="AW104" s="1722"/>
      <c r="AY104" s="1042" t="s">
        <v>1503</v>
      </c>
    </row>
    <row r="105" spans="1:63" ht="45" customHeight="1">
      <c r="A105" s="1711" t="s">
        <v>297</v>
      </c>
      <c r="B105" s="1031" t="s">
        <v>126</v>
      </c>
      <c r="C105" s="1015" t="s">
        <v>64</v>
      </c>
      <c r="D105" s="94" t="s">
        <v>104</v>
      </c>
      <c r="E105" s="97" t="s">
        <v>1328</v>
      </c>
      <c r="F105" s="1889" t="s">
        <v>1309</v>
      </c>
      <c r="G105" s="2616"/>
      <c r="H105" s="2606"/>
      <c r="I105" s="3095">
        <f>'XM.FILE GOC'!I105</f>
        <v>58</v>
      </c>
      <c r="J105" s="3086"/>
      <c r="K105" s="3086"/>
      <c r="L105" s="3086">
        <f>'XM.FILE GOC'!L105</f>
        <v>58</v>
      </c>
      <c r="M105" s="3086"/>
      <c r="N105" s="3097"/>
      <c r="O105" s="2521"/>
      <c r="P105" s="3095">
        <f>'XM.FILE GOC'!P105</f>
        <v>58</v>
      </c>
      <c r="Q105" s="3086"/>
      <c r="R105" s="3086"/>
      <c r="S105" s="3086">
        <f>'XM.FILE GOC'!S105</f>
        <v>58</v>
      </c>
      <c r="T105" s="3086"/>
      <c r="U105" s="3097"/>
      <c r="V105" s="2522"/>
      <c r="W105" s="3095">
        <f>'XM.FILE GOC'!W105</f>
        <v>58</v>
      </c>
      <c r="X105" s="3086"/>
      <c r="Y105" s="3086"/>
      <c r="Z105" s="3086">
        <f>'XM.FILE GOC'!Z105</f>
        <v>58</v>
      </c>
      <c r="AA105" s="3086"/>
      <c r="AB105" s="3097"/>
      <c r="AC105" s="2522"/>
      <c r="AD105" s="3095">
        <f>'XM.FILE GOC'!AD105</f>
        <v>0</v>
      </c>
      <c r="AE105" s="3086"/>
      <c r="AF105" s="3086"/>
      <c r="AG105" s="3086">
        <f>'XM.FILE GOC'!AG105</f>
        <v>0</v>
      </c>
      <c r="AH105" s="3086"/>
      <c r="AI105" s="3087"/>
      <c r="AJ105" s="2572"/>
      <c r="AK105" s="3095">
        <f>'XM.FILE GOC'!AK105</f>
        <v>0</v>
      </c>
      <c r="AL105" s="3086"/>
      <c r="AM105" s="3086"/>
      <c r="AN105" s="3086">
        <f>'XM.FILE GOC'!AN105</f>
        <v>0</v>
      </c>
      <c r="AO105" s="3086"/>
      <c r="AP105" s="3087"/>
      <c r="AQ105" s="2572"/>
      <c r="AR105" s="3095">
        <f>'XM.FILE GOC'!AR105</f>
        <v>0</v>
      </c>
      <c r="AS105" s="3086"/>
      <c r="AT105" s="3086"/>
      <c r="AU105" s="3086">
        <f>'XM.FILE GOC'!AU105</f>
        <v>0</v>
      </c>
      <c r="AV105" s="3086"/>
      <c r="AW105" s="3087"/>
      <c r="AY105" s="2158"/>
    </row>
    <row r="106" spans="1:63" ht="45" customHeight="1">
      <c r="A106" s="1711" t="s">
        <v>298</v>
      </c>
      <c r="B106" s="1031" t="s">
        <v>126</v>
      </c>
      <c r="C106" s="1015" t="s">
        <v>65</v>
      </c>
      <c r="D106" s="94" t="s">
        <v>104</v>
      </c>
      <c r="E106" s="97" t="s">
        <v>1328</v>
      </c>
      <c r="F106" s="1889" t="s">
        <v>1309</v>
      </c>
      <c r="G106" s="2616"/>
      <c r="H106" s="2606"/>
      <c r="I106" s="3095">
        <f>'XM.FILE GOC'!I106</f>
        <v>58</v>
      </c>
      <c r="J106" s="3086"/>
      <c r="K106" s="3086"/>
      <c r="L106" s="3086">
        <f>'XM.FILE GOC'!L106</f>
        <v>58</v>
      </c>
      <c r="M106" s="3086"/>
      <c r="N106" s="3097"/>
      <c r="O106" s="2521"/>
      <c r="P106" s="3095">
        <f>'XM.FILE GOC'!P106</f>
        <v>58</v>
      </c>
      <c r="Q106" s="3086"/>
      <c r="R106" s="3086"/>
      <c r="S106" s="3086">
        <f>'XM.FILE GOC'!S106</f>
        <v>58</v>
      </c>
      <c r="T106" s="3086"/>
      <c r="U106" s="3097"/>
      <c r="V106" s="2522"/>
      <c r="W106" s="3095">
        <f>'XM.FILE GOC'!W106</f>
        <v>59</v>
      </c>
      <c r="X106" s="3086"/>
      <c r="Y106" s="3086"/>
      <c r="Z106" s="3086">
        <f>'XM.FILE GOC'!Z106</f>
        <v>58</v>
      </c>
      <c r="AA106" s="3086"/>
      <c r="AB106" s="3097"/>
      <c r="AC106" s="2522"/>
      <c r="AD106" s="3095">
        <f>'XM.FILE GOC'!AD106</f>
        <v>0</v>
      </c>
      <c r="AE106" s="3086"/>
      <c r="AF106" s="3086"/>
      <c r="AG106" s="3086">
        <f>'XM.FILE GOC'!AG106</f>
        <v>0</v>
      </c>
      <c r="AH106" s="3086"/>
      <c r="AI106" s="3087"/>
      <c r="AJ106" s="2572"/>
      <c r="AK106" s="3095">
        <f>'XM.FILE GOC'!AK106</f>
        <v>0</v>
      </c>
      <c r="AL106" s="3086"/>
      <c r="AM106" s="3086"/>
      <c r="AN106" s="3086">
        <f>'XM.FILE GOC'!AN106</f>
        <v>0</v>
      </c>
      <c r="AO106" s="3086"/>
      <c r="AP106" s="3087"/>
      <c r="AQ106" s="2572"/>
      <c r="AR106" s="3095">
        <f>'XM.FILE GOC'!AR106</f>
        <v>0</v>
      </c>
      <c r="AS106" s="3086"/>
      <c r="AT106" s="3086"/>
      <c r="AU106" s="3086">
        <f>'XM.FILE GOC'!AU106</f>
        <v>0</v>
      </c>
      <c r="AV106" s="3086"/>
      <c r="AW106" s="3087"/>
      <c r="AY106" s="2158"/>
    </row>
    <row r="107" spans="1:63" ht="45" customHeight="1">
      <c r="A107" s="1711" t="s">
        <v>299</v>
      </c>
      <c r="B107" s="1031" t="s">
        <v>126</v>
      </c>
      <c r="C107" s="1015" t="s">
        <v>67</v>
      </c>
      <c r="D107" s="94" t="s">
        <v>104</v>
      </c>
      <c r="E107" s="97" t="s">
        <v>1328</v>
      </c>
      <c r="F107" s="1889" t="s">
        <v>1309</v>
      </c>
      <c r="G107" s="2616"/>
      <c r="H107" s="2606"/>
      <c r="I107" s="3095">
        <f>'XM.FILE GOC'!I107</f>
        <v>59</v>
      </c>
      <c r="J107" s="3086"/>
      <c r="K107" s="3086"/>
      <c r="L107" s="3086">
        <f>'XM.FILE GOC'!L107</f>
        <v>58</v>
      </c>
      <c r="M107" s="3086"/>
      <c r="N107" s="3097"/>
      <c r="O107" s="2521"/>
      <c r="P107" s="3095">
        <f>'XM.FILE GOC'!P107</f>
        <v>58</v>
      </c>
      <c r="Q107" s="3086"/>
      <c r="R107" s="3086"/>
      <c r="S107" s="3086">
        <f>'XM.FILE GOC'!S107</f>
        <v>59</v>
      </c>
      <c r="T107" s="3086"/>
      <c r="U107" s="3097"/>
      <c r="V107" s="2522"/>
      <c r="W107" s="3095">
        <f>'XM.FILE GOC'!W107</f>
        <v>59</v>
      </c>
      <c r="X107" s="3086"/>
      <c r="Y107" s="3086"/>
      <c r="Z107" s="3086">
        <f>'XM.FILE GOC'!Z107</f>
        <v>58</v>
      </c>
      <c r="AA107" s="3086"/>
      <c r="AB107" s="3097"/>
      <c r="AC107" s="2522"/>
      <c r="AD107" s="3095">
        <f>'XM.FILE GOC'!AD107</f>
        <v>0</v>
      </c>
      <c r="AE107" s="3086"/>
      <c r="AF107" s="3086"/>
      <c r="AG107" s="3086">
        <f>'XM.FILE GOC'!AG107</f>
        <v>0</v>
      </c>
      <c r="AH107" s="3086"/>
      <c r="AI107" s="3087"/>
      <c r="AJ107" s="2572"/>
      <c r="AK107" s="3095">
        <f>'XM.FILE GOC'!AK107</f>
        <v>0</v>
      </c>
      <c r="AL107" s="3086"/>
      <c r="AM107" s="3086"/>
      <c r="AN107" s="3086">
        <f>'XM.FILE GOC'!AN107</f>
        <v>0</v>
      </c>
      <c r="AO107" s="3086"/>
      <c r="AP107" s="3087"/>
      <c r="AQ107" s="2572"/>
      <c r="AR107" s="3095">
        <f>'XM.FILE GOC'!AR107</f>
        <v>0</v>
      </c>
      <c r="AS107" s="3086"/>
      <c r="AT107" s="3086"/>
      <c r="AU107" s="3086">
        <f>'XM.FILE GOC'!AU107</f>
        <v>0</v>
      </c>
      <c r="AV107" s="3086"/>
      <c r="AW107" s="3087"/>
      <c r="AY107" s="2158"/>
    </row>
    <row r="108" spans="1:63" ht="45" customHeight="1">
      <c r="A108" s="1711" t="s">
        <v>300</v>
      </c>
      <c r="B108" s="1031" t="s">
        <v>126</v>
      </c>
      <c r="C108" s="1359" t="s">
        <v>1269</v>
      </c>
      <c r="D108" s="94" t="s">
        <v>104</v>
      </c>
      <c r="E108" s="97" t="s">
        <v>1328</v>
      </c>
      <c r="F108" s="1889" t="s">
        <v>1309</v>
      </c>
      <c r="G108" s="2616"/>
      <c r="H108" s="2606"/>
      <c r="I108" s="3095">
        <f>'XM.FILE GOC'!I108</f>
        <v>59</v>
      </c>
      <c r="J108" s="3086"/>
      <c r="K108" s="3086"/>
      <c r="L108" s="3086">
        <f>'XM.FILE GOC'!L108</f>
        <v>58</v>
      </c>
      <c r="M108" s="3086"/>
      <c r="N108" s="3097"/>
      <c r="O108" s="2521"/>
      <c r="P108" s="3095">
        <f>'XM.FILE GOC'!P108</f>
        <v>59</v>
      </c>
      <c r="Q108" s="3086"/>
      <c r="R108" s="3086"/>
      <c r="S108" s="3086">
        <f>'XM.FILE GOC'!S108</f>
        <v>59</v>
      </c>
      <c r="T108" s="3086"/>
      <c r="U108" s="3097"/>
      <c r="V108" s="2522"/>
      <c r="W108" s="3095">
        <f>'XM.FILE GOC'!W108</f>
        <v>58</v>
      </c>
      <c r="X108" s="3086"/>
      <c r="Y108" s="3086"/>
      <c r="Z108" s="3086">
        <f>'XM.FILE GOC'!Z108</f>
        <v>58</v>
      </c>
      <c r="AA108" s="3086"/>
      <c r="AB108" s="3097"/>
      <c r="AC108" s="2522"/>
      <c r="AD108" s="3095">
        <f>'XM.FILE GOC'!AD108</f>
        <v>0</v>
      </c>
      <c r="AE108" s="3086"/>
      <c r="AF108" s="3086"/>
      <c r="AG108" s="3086">
        <f>'XM.FILE GOC'!AG108</f>
        <v>0</v>
      </c>
      <c r="AH108" s="3086"/>
      <c r="AI108" s="3087"/>
      <c r="AJ108" s="2572"/>
      <c r="AK108" s="3095">
        <f>'XM.FILE GOC'!AK108</f>
        <v>0</v>
      </c>
      <c r="AL108" s="3086"/>
      <c r="AM108" s="3086"/>
      <c r="AN108" s="3086">
        <f>'XM.FILE GOC'!AN108</f>
        <v>0</v>
      </c>
      <c r="AO108" s="3086"/>
      <c r="AP108" s="3087"/>
      <c r="AQ108" s="2572"/>
      <c r="AR108" s="3095">
        <f>'XM.FILE GOC'!AR108</f>
        <v>0</v>
      </c>
      <c r="AS108" s="3086"/>
      <c r="AT108" s="3086"/>
      <c r="AU108" s="3086">
        <f>'XM.FILE GOC'!AU108</f>
        <v>0</v>
      </c>
      <c r="AV108" s="3086"/>
      <c r="AW108" s="3087"/>
      <c r="AY108" s="2158"/>
    </row>
    <row r="109" spans="1:63" ht="45" customHeight="1">
      <c r="A109" s="1711" t="s">
        <v>311</v>
      </c>
      <c r="B109" s="1031" t="s">
        <v>126</v>
      </c>
      <c r="C109" s="1015" t="s">
        <v>68</v>
      </c>
      <c r="D109" s="94" t="s">
        <v>104</v>
      </c>
      <c r="E109" s="97" t="s">
        <v>1516</v>
      </c>
      <c r="F109" s="1897" t="s">
        <v>1517</v>
      </c>
      <c r="G109" s="2616"/>
      <c r="H109" s="2606"/>
      <c r="I109" s="3107">
        <f>'XM.FILE GOC'!I109</f>
        <v>25</v>
      </c>
      <c r="J109" s="3108"/>
      <c r="K109" s="3108"/>
      <c r="L109" s="3108">
        <f>'XM.FILE GOC'!L109</f>
        <v>24</v>
      </c>
      <c r="M109" s="3108"/>
      <c r="N109" s="3108"/>
      <c r="O109" s="3109"/>
      <c r="P109" s="3107">
        <f>'XM.FILE GOC'!P109</f>
        <v>26</v>
      </c>
      <c r="Q109" s="3108"/>
      <c r="R109" s="3108"/>
      <c r="S109" s="3108">
        <f>'XM.FILE GOC'!S109</f>
        <v>25</v>
      </c>
      <c r="T109" s="3108"/>
      <c r="U109" s="3108"/>
      <c r="V109" s="3109"/>
      <c r="W109" s="3107">
        <f>'XM.FILE GOC'!W109</f>
        <v>25</v>
      </c>
      <c r="X109" s="3108"/>
      <c r="Y109" s="3108"/>
      <c r="Z109" s="3108">
        <f>'XM.FILE GOC'!Z109</f>
        <v>24</v>
      </c>
      <c r="AA109" s="3108"/>
      <c r="AB109" s="3108"/>
      <c r="AC109" s="3109"/>
      <c r="AD109" s="3107">
        <f>'XM.FILE GOC'!AD109</f>
        <v>0</v>
      </c>
      <c r="AE109" s="3108"/>
      <c r="AF109" s="3108"/>
      <c r="AG109" s="3108">
        <f>'XM.FILE GOC'!AG109</f>
        <v>0</v>
      </c>
      <c r="AH109" s="3108"/>
      <c r="AI109" s="3108"/>
      <c r="AJ109" s="3109"/>
      <c r="AK109" s="3107">
        <f>'XM.FILE GOC'!AK109</f>
        <v>0</v>
      </c>
      <c r="AL109" s="3108"/>
      <c r="AM109" s="3108"/>
      <c r="AN109" s="3108">
        <f>'XM.FILE GOC'!AN109</f>
        <v>0</v>
      </c>
      <c r="AO109" s="3108"/>
      <c r="AP109" s="3108"/>
      <c r="AQ109" s="3109"/>
      <c r="AR109" s="3107">
        <f>'XM.FILE GOC'!AR109</f>
        <v>0</v>
      </c>
      <c r="AS109" s="3108"/>
      <c r="AT109" s="3108"/>
      <c r="AU109" s="3108">
        <f>'XM.FILE GOC'!AU109</f>
        <v>0</v>
      </c>
      <c r="AV109" s="3108"/>
      <c r="AW109" s="3109"/>
      <c r="AY109" s="2158"/>
    </row>
    <row r="110" spans="1:63" ht="45" customHeight="1">
      <c r="A110" s="1712" t="s">
        <v>301</v>
      </c>
      <c r="B110" s="1031" t="s">
        <v>126</v>
      </c>
      <c r="C110" s="1348" t="s">
        <v>1265</v>
      </c>
      <c r="D110" s="94" t="s">
        <v>104</v>
      </c>
      <c r="E110" s="97" t="s">
        <v>1511</v>
      </c>
      <c r="F110" s="1897" t="s">
        <v>1512</v>
      </c>
      <c r="G110" s="2616"/>
      <c r="H110" s="2606"/>
      <c r="I110" s="3095">
        <f>'XM.FILE GOC'!I110</f>
        <v>38</v>
      </c>
      <c r="J110" s="3086"/>
      <c r="K110" s="3097"/>
      <c r="L110" s="3086">
        <f>'XM.FILE GOC'!L110</f>
        <v>38</v>
      </c>
      <c r="M110" s="3086"/>
      <c r="N110" s="3087"/>
      <c r="O110" s="2520"/>
      <c r="P110" s="3095">
        <f>'XM.FILE GOC'!P110</f>
        <v>38</v>
      </c>
      <c r="Q110" s="3086"/>
      <c r="R110" s="3097"/>
      <c r="S110" s="3086">
        <f>'XM.FILE GOC'!S110</f>
        <v>38</v>
      </c>
      <c r="T110" s="3086"/>
      <c r="U110" s="3087"/>
      <c r="V110" s="2550"/>
      <c r="W110" s="3095">
        <f>'XM.FILE GOC'!W110</f>
        <v>37</v>
      </c>
      <c r="X110" s="3086"/>
      <c r="Y110" s="3097"/>
      <c r="Z110" s="3086">
        <f>'XM.FILE GOC'!Z110</f>
        <v>37</v>
      </c>
      <c r="AA110" s="3086"/>
      <c r="AB110" s="3087"/>
      <c r="AC110" s="2564"/>
      <c r="AD110" s="3095">
        <f>'XM.FILE GOC'!AD110</f>
        <v>0</v>
      </c>
      <c r="AE110" s="3086"/>
      <c r="AF110" s="3097"/>
      <c r="AG110" s="3086">
        <f>'XM.FILE GOC'!AG110</f>
        <v>0</v>
      </c>
      <c r="AH110" s="3086"/>
      <c r="AI110" s="3087"/>
      <c r="AJ110" s="2550"/>
      <c r="AK110" s="3095">
        <f>'XM.FILE GOC'!AK110</f>
        <v>0</v>
      </c>
      <c r="AL110" s="3086"/>
      <c r="AM110" s="3097"/>
      <c r="AN110" s="3086">
        <f>'XM.FILE GOC'!AN110</f>
        <v>0</v>
      </c>
      <c r="AO110" s="3086"/>
      <c r="AP110" s="3087"/>
      <c r="AQ110" s="2550"/>
      <c r="AR110" s="3095">
        <f>'XM.FILE GOC'!AR110</f>
        <v>0</v>
      </c>
      <c r="AS110" s="3086"/>
      <c r="AT110" s="3097"/>
      <c r="AU110" s="3086">
        <f>'XM.FILE GOC'!AU110</f>
        <v>0</v>
      </c>
      <c r="AV110" s="3086"/>
      <c r="AW110" s="3087"/>
      <c r="AY110" s="2158"/>
    </row>
    <row r="111" spans="1:63" ht="45" customHeight="1">
      <c r="A111" s="1712" t="s">
        <v>302</v>
      </c>
      <c r="B111" s="1031" t="s">
        <v>126</v>
      </c>
      <c r="C111" s="1015" t="s">
        <v>69</v>
      </c>
      <c r="D111" s="94" t="s">
        <v>104</v>
      </c>
      <c r="E111" s="97" t="s">
        <v>1327</v>
      </c>
      <c r="F111" s="1897" t="s">
        <v>1309</v>
      </c>
      <c r="G111" s="2616"/>
      <c r="H111" s="2606"/>
      <c r="I111" s="3095">
        <f>'XM.FILE GOC'!I111</f>
        <v>62</v>
      </c>
      <c r="J111" s="3086"/>
      <c r="K111" s="3086"/>
      <c r="L111" s="3096">
        <f>'XM.FILE GOC'!L111</f>
        <v>61</v>
      </c>
      <c r="M111" s="3086"/>
      <c r="N111" s="3086"/>
      <c r="O111" s="2536"/>
      <c r="P111" s="3095">
        <f>'XM.FILE GOC'!P111</f>
        <v>61</v>
      </c>
      <c r="Q111" s="3086"/>
      <c r="R111" s="3086"/>
      <c r="S111" s="3096">
        <f>'XM.FILE GOC'!S111</f>
        <v>62</v>
      </c>
      <c r="T111" s="3086"/>
      <c r="U111" s="3086"/>
      <c r="V111" s="2536"/>
      <c r="W111" s="3095">
        <f>'XM.FILE GOC'!W111</f>
        <v>58</v>
      </c>
      <c r="X111" s="3086"/>
      <c r="Y111" s="3086"/>
      <c r="Z111" s="3096">
        <f>'XM.FILE GOC'!Z111</f>
        <v>57</v>
      </c>
      <c r="AA111" s="3086"/>
      <c r="AB111" s="3086"/>
      <c r="AC111" s="2536"/>
      <c r="AD111" s="3095">
        <f>'XM.FILE GOC'!AD111</f>
        <v>0</v>
      </c>
      <c r="AE111" s="3086"/>
      <c r="AF111" s="3086"/>
      <c r="AG111" s="3096">
        <f>'XM.FILE GOC'!AG111</f>
        <v>0</v>
      </c>
      <c r="AH111" s="3086"/>
      <c r="AI111" s="3086"/>
      <c r="AJ111" s="2536"/>
      <c r="AK111" s="3095">
        <f>'XM.FILE GOC'!AK111</f>
        <v>0</v>
      </c>
      <c r="AL111" s="3086"/>
      <c r="AM111" s="3086"/>
      <c r="AN111" s="3096">
        <f>'XM.FILE GOC'!AN111</f>
        <v>0</v>
      </c>
      <c r="AO111" s="3086"/>
      <c r="AP111" s="3086"/>
      <c r="AQ111" s="2536"/>
      <c r="AR111" s="3095">
        <f>'XM.FILE GOC'!AR111</f>
        <v>0</v>
      </c>
      <c r="AS111" s="3086"/>
      <c r="AT111" s="3086"/>
      <c r="AU111" s="3086">
        <f>'XM.FILE GOC'!AU111</f>
        <v>0</v>
      </c>
      <c r="AV111" s="3086"/>
      <c r="AW111" s="3087"/>
      <c r="AY111" s="2158"/>
    </row>
    <row r="112" spans="1:63" ht="45" customHeight="1">
      <c r="A112" s="1041" t="s">
        <v>303</v>
      </c>
      <c r="B112" s="1031" t="s">
        <v>126</v>
      </c>
      <c r="C112" s="1015" t="s">
        <v>70</v>
      </c>
      <c r="D112" s="94" t="s">
        <v>104</v>
      </c>
      <c r="E112" s="97" t="s">
        <v>1513</v>
      </c>
      <c r="F112" s="1897" t="s">
        <v>1502</v>
      </c>
      <c r="G112" s="2616"/>
      <c r="H112" s="2606"/>
      <c r="I112" s="3112" t="s">
        <v>1263</v>
      </c>
      <c r="J112" s="3113"/>
      <c r="K112" s="3114"/>
      <c r="L112" s="3086">
        <f>'XM.FILE GOC'!L112</f>
        <v>93</v>
      </c>
      <c r="M112" s="3086"/>
      <c r="N112" s="3087"/>
      <c r="O112" s="2530"/>
      <c r="P112" s="3092" t="s">
        <v>1263</v>
      </c>
      <c r="Q112" s="3093"/>
      <c r="R112" s="3094"/>
      <c r="S112" s="3086">
        <f>'XM.FILE GOC'!S112</f>
        <v>92</v>
      </c>
      <c r="T112" s="3086"/>
      <c r="U112" s="3087"/>
      <c r="V112" s="2530"/>
      <c r="W112" s="3092" t="s">
        <v>1263</v>
      </c>
      <c r="X112" s="3093"/>
      <c r="Y112" s="3094"/>
      <c r="Z112" s="3086">
        <f>'XM.FILE GOC'!Z112</f>
        <v>92</v>
      </c>
      <c r="AA112" s="3086"/>
      <c r="AB112" s="3087"/>
      <c r="AC112" s="2530"/>
      <c r="AD112" s="3092" t="s">
        <v>1263</v>
      </c>
      <c r="AE112" s="3093"/>
      <c r="AF112" s="3094"/>
      <c r="AG112" s="3086">
        <f>'XM.FILE GOC'!AG112</f>
        <v>0</v>
      </c>
      <c r="AH112" s="3086"/>
      <c r="AI112" s="3087"/>
      <c r="AJ112" s="2530"/>
      <c r="AK112" s="3092" t="s">
        <v>1263</v>
      </c>
      <c r="AL112" s="3093"/>
      <c r="AM112" s="3094"/>
      <c r="AN112" s="3086">
        <f>'XM.FILE GOC'!AN112</f>
        <v>0</v>
      </c>
      <c r="AO112" s="3086"/>
      <c r="AP112" s="3087"/>
      <c r="AQ112" s="2530"/>
      <c r="AR112" s="3092" t="s">
        <v>1263</v>
      </c>
      <c r="AS112" s="3093"/>
      <c r="AT112" s="3094"/>
      <c r="AU112" s="3086">
        <f>'XM.FILE GOC'!AU112</f>
        <v>0</v>
      </c>
      <c r="AV112" s="3086"/>
      <c r="AW112" s="3087"/>
      <c r="AY112" s="2158"/>
    </row>
    <row r="113" spans="1:51" ht="45" customHeight="1">
      <c r="A113" s="1712"/>
      <c r="B113" s="1368"/>
      <c r="C113" s="1375" t="s">
        <v>1275</v>
      </c>
      <c r="D113" s="94" t="s">
        <v>104</v>
      </c>
      <c r="E113" s="97" t="s">
        <v>1332</v>
      </c>
      <c r="F113" s="1889" t="s">
        <v>1515</v>
      </c>
      <c r="G113" s="2617"/>
      <c r="H113" s="2606"/>
      <c r="I113" s="3090">
        <f>'XM.FILE GOC'!I113</f>
        <v>56</v>
      </c>
      <c r="J113" s="3088"/>
      <c r="K113" s="3091"/>
      <c r="L113" s="3088">
        <f>'XM.FILE GOC'!L113</f>
        <v>55</v>
      </c>
      <c r="M113" s="3088"/>
      <c r="N113" s="3089"/>
      <c r="O113" s="2521"/>
      <c r="P113" s="3090">
        <f>'XM.FILE GOC'!P113</f>
        <v>56</v>
      </c>
      <c r="Q113" s="3088"/>
      <c r="R113" s="3091"/>
      <c r="S113" s="3088">
        <f>'XM.FILE GOC'!S113</f>
        <v>56</v>
      </c>
      <c r="T113" s="3088"/>
      <c r="U113" s="3089"/>
      <c r="V113" s="2555"/>
      <c r="W113" s="3090">
        <f>'XM.FILE GOC'!W113</f>
        <v>56</v>
      </c>
      <c r="X113" s="3088"/>
      <c r="Y113" s="3091"/>
      <c r="Z113" s="3088">
        <f>'XM.FILE GOC'!Z113</f>
        <v>55</v>
      </c>
      <c r="AA113" s="3088"/>
      <c r="AB113" s="3089"/>
      <c r="AC113" s="2565"/>
      <c r="AD113" s="3090">
        <f>'XM.FILE GOC'!AD113</f>
        <v>0</v>
      </c>
      <c r="AE113" s="3088"/>
      <c r="AF113" s="3091"/>
      <c r="AG113" s="3088">
        <f>'XM.FILE GOC'!AG113</f>
        <v>0</v>
      </c>
      <c r="AH113" s="3088"/>
      <c r="AI113" s="3089"/>
      <c r="AJ113" s="2555"/>
      <c r="AK113" s="3090">
        <f>'XM.FILE GOC'!AK113</f>
        <v>0</v>
      </c>
      <c r="AL113" s="3088"/>
      <c r="AM113" s="3091"/>
      <c r="AN113" s="3088">
        <f>'XM.FILE GOC'!AN113</f>
        <v>0</v>
      </c>
      <c r="AO113" s="3088"/>
      <c r="AP113" s="3089"/>
      <c r="AQ113" s="2555"/>
      <c r="AR113" s="3090">
        <f>'XM.FILE GOC'!AR113</f>
        <v>0</v>
      </c>
      <c r="AS113" s="3088"/>
      <c r="AT113" s="3091"/>
      <c r="AU113" s="3088">
        <f>'XM.FILE GOC'!AU113</f>
        <v>0</v>
      </c>
      <c r="AV113" s="3088"/>
      <c r="AW113" s="3089"/>
      <c r="AY113" s="2158"/>
    </row>
    <row r="114" spans="1:51" ht="45" customHeight="1">
      <c r="A114" s="1712"/>
      <c r="B114" s="2152"/>
      <c r="C114" s="2153" t="s">
        <v>1276</v>
      </c>
      <c r="D114" s="94" t="s">
        <v>104</v>
      </c>
      <c r="E114" s="97" t="s">
        <v>1328</v>
      </c>
      <c r="F114" s="1889" t="s">
        <v>1514</v>
      </c>
      <c r="G114" s="2618"/>
      <c r="H114" s="2606"/>
      <c r="I114" s="3090">
        <f>'XM.FILE GOC'!I114</f>
        <v>62</v>
      </c>
      <c r="J114" s="3088"/>
      <c r="K114" s="3091"/>
      <c r="L114" s="3088">
        <f>'XM.FILE GOC'!L114</f>
        <v>63</v>
      </c>
      <c r="M114" s="3088"/>
      <c r="N114" s="3089"/>
      <c r="O114" s="2521"/>
      <c r="P114" s="3090">
        <f>'XM.FILE GOC'!P114</f>
        <v>62</v>
      </c>
      <c r="Q114" s="3088"/>
      <c r="R114" s="3091"/>
      <c r="S114" s="3088">
        <f>'XM.FILE GOC'!S114</f>
        <v>62</v>
      </c>
      <c r="T114" s="3088"/>
      <c r="U114" s="3089"/>
      <c r="V114" s="2555"/>
      <c r="W114" s="3090">
        <f>'XM.FILE GOC'!W114</f>
        <v>62</v>
      </c>
      <c r="X114" s="3088"/>
      <c r="Y114" s="3091"/>
      <c r="Z114" s="3088">
        <f>'XM.FILE GOC'!Z114</f>
        <v>63</v>
      </c>
      <c r="AA114" s="3088"/>
      <c r="AB114" s="3089"/>
      <c r="AC114" s="2565"/>
      <c r="AD114" s="3090">
        <f>'XM.FILE GOC'!AD114</f>
        <v>0</v>
      </c>
      <c r="AE114" s="3088"/>
      <c r="AF114" s="3091"/>
      <c r="AG114" s="3088">
        <f>'XM.FILE GOC'!AG114</f>
        <v>0</v>
      </c>
      <c r="AH114" s="3088"/>
      <c r="AI114" s="3089"/>
      <c r="AJ114" s="2555"/>
      <c r="AK114" s="3090">
        <f>'XM.FILE GOC'!AK114</f>
        <v>0</v>
      </c>
      <c r="AL114" s="3088"/>
      <c r="AM114" s="3091"/>
      <c r="AN114" s="3088">
        <f>'XM.FILE GOC'!AN114</f>
        <v>0</v>
      </c>
      <c r="AO114" s="3088"/>
      <c r="AP114" s="3089"/>
      <c r="AQ114" s="2555"/>
      <c r="AR114" s="3090">
        <f>'XM.FILE GOC'!AR114</f>
        <v>0</v>
      </c>
      <c r="AS114" s="3088"/>
      <c r="AT114" s="3091"/>
      <c r="AU114" s="3088">
        <f>'XM.FILE GOC'!AU114</f>
        <v>0</v>
      </c>
      <c r="AV114" s="3088"/>
      <c r="AW114" s="3089"/>
      <c r="AY114" s="2158"/>
    </row>
    <row r="115" spans="1:51" ht="45" hidden="1" customHeight="1">
      <c r="A115" s="1712"/>
      <c r="B115" s="1031"/>
      <c r="C115" s="1015" t="s">
        <v>981</v>
      </c>
      <c r="D115" s="21" t="s">
        <v>104</v>
      </c>
      <c r="E115" s="97" t="s">
        <v>1308</v>
      </c>
      <c r="F115" s="1889" t="s">
        <v>1308</v>
      </c>
      <c r="G115" s="2616"/>
      <c r="H115" s="2606"/>
      <c r="I115" s="3090">
        <f>'XM.FILE GOC'!I115</f>
        <v>0</v>
      </c>
      <c r="J115" s="3088"/>
      <c r="K115" s="3091"/>
      <c r="L115" s="3088">
        <f>'XM.FILE GOC'!L115</f>
        <v>0</v>
      </c>
      <c r="M115" s="3088"/>
      <c r="N115" s="3088"/>
      <c r="O115" s="2537"/>
      <c r="P115" s="3090">
        <f>'XM.FILE GOC'!P115</f>
        <v>0</v>
      </c>
      <c r="Q115" s="3088"/>
      <c r="R115" s="3091"/>
      <c r="S115" s="3088">
        <f>'XM.FILE GOC'!S115</f>
        <v>0</v>
      </c>
      <c r="T115" s="3088"/>
      <c r="U115" s="3088"/>
      <c r="W115" s="3090">
        <f>'XM.FILE GOC'!W115</f>
        <v>0</v>
      </c>
      <c r="X115" s="3088"/>
      <c r="Y115" s="3091"/>
      <c r="Z115" s="3088">
        <f>'XM.FILE GOC'!Z115</f>
        <v>0</v>
      </c>
      <c r="AA115" s="3088"/>
      <c r="AB115" s="3088"/>
      <c r="AC115" s="2566"/>
      <c r="AD115" s="3090">
        <f>'XM.FILE GOC'!AD115</f>
        <v>0</v>
      </c>
      <c r="AE115" s="3088"/>
      <c r="AF115" s="3091"/>
      <c r="AG115" s="3088">
        <f>'XM.FILE GOC'!AG115</f>
        <v>0</v>
      </c>
      <c r="AH115" s="3088"/>
      <c r="AI115" s="3088"/>
      <c r="AJ115" s="2537"/>
      <c r="AK115" s="3090">
        <f>'XM.FILE GOC'!AK115</f>
        <v>0</v>
      </c>
      <c r="AL115" s="3088"/>
      <c r="AM115" s="3091"/>
      <c r="AN115" s="3088">
        <f>'XM.FILE GOC'!AN115</f>
        <v>0</v>
      </c>
      <c r="AO115" s="3088"/>
      <c r="AP115" s="3088"/>
      <c r="AR115" s="3090">
        <f>'XM.FILE GOC'!AR115</f>
        <v>0</v>
      </c>
      <c r="AS115" s="3088"/>
      <c r="AT115" s="3091"/>
      <c r="AU115" s="3088">
        <f>'XM.FILE GOC'!AU115</f>
        <v>0</v>
      </c>
      <c r="AV115" s="3088"/>
      <c r="AW115" s="3088"/>
      <c r="AY115" s="2158"/>
    </row>
    <row r="116" spans="1:51" ht="45" hidden="1" customHeight="1">
      <c r="A116" s="1712"/>
      <c r="B116" s="1347"/>
      <c r="C116" s="1350" t="s">
        <v>1266</v>
      </c>
      <c r="D116" s="21" t="s">
        <v>104</v>
      </c>
      <c r="E116" s="97" t="s">
        <v>1337</v>
      </c>
      <c r="F116" s="1889" t="s">
        <v>1434</v>
      </c>
      <c r="G116" s="2616"/>
      <c r="H116" s="2606"/>
      <c r="I116" s="3358">
        <f>'XM.FILE GOC'!I116</f>
        <v>0</v>
      </c>
      <c r="J116" s="3348"/>
      <c r="K116" s="3348"/>
      <c r="L116" s="3348">
        <f>'XM.FILE GOC'!L116</f>
        <v>0</v>
      </c>
      <c r="M116" s="3348"/>
      <c r="N116" s="3348"/>
      <c r="O116" s="3349"/>
      <c r="P116" s="3358">
        <f>'XM.FILE GOC'!P116</f>
        <v>0</v>
      </c>
      <c r="Q116" s="3348"/>
      <c r="R116" s="3348"/>
      <c r="S116" s="3348">
        <f>'XM.FILE GOC'!S116</f>
        <v>0</v>
      </c>
      <c r="T116" s="3348"/>
      <c r="U116" s="3348"/>
      <c r="V116" s="3349"/>
      <c r="W116" s="3358">
        <f>'XM.FILE GOC'!W116</f>
        <v>0</v>
      </c>
      <c r="X116" s="3348"/>
      <c r="Y116" s="3348"/>
      <c r="Z116" s="3348">
        <f>'XM.FILE GOC'!Z116</f>
        <v>0</v>
      </c>
      <c r="AA116" s="3348"/>
      <c r="AB116" s="3348"/>
      <c r="AC116" s="3349"/>
      <c r="AD116" s="3358">
        <f>'XM.FILE GOC'!AD116</f>
        <v>0</v>
      </c>
      <c r="AE116" s="3348"/>
      <c r="AF116" s="3348"/>
      <c r="AG116" s="3348">
        <f>'XM.FILE GOC'!AG116</f>
        <v>0</v>
      </c>
      <c r="AH116" s="3348"/>
      <c r="AI116" s="3348"/>
      <c r="AJ116" s="3349"/>
      <c r="AK116" s="3358">
        <f>'XM.FILE GOC'!AK116</f>
        <v>0</v>
      </c>
      <c r="AL116" s="3348"/>
      <c r="AM116" s="3348"/>
      <c r="AN116" s="3348">
        <f>'XM.FILE GOC'!AN116</f>
        <v>0</v>
      </c>
      <c r="AO116" s="3348"/>
      <c r="AP116" s="3348"/>
      <c r="AQ116" s="3349"/>
      <c r="AR116" s="3358">
        <f>'XM.FILE GOC'!AR116</f>
        <v>0</v>
      </c>
      <c r="AS116" s="3348"/>
      <c r="AT116" s="3348"/>
      <c r="AU116" s="3348">
        <f>'XM.FILE GOC'!AU116</f>
        <v>0</v>
      </c>
      <c r="AV116" s="3348"/>
      <c r="AW116" s="3349"/>
      <c r="AY116" s="2158"/>
    </row>
    <row r="117" spans="1:51" ht="45" hidden="1" customHeight="1">
      <c r="A117" s="1719" t="s">
        <v>309</v>
      </c>
      <c r="B117" s="1311" t="s">
        <v>126</v>
      </c>
      <c r="C117" s="1012" t="s">
        <v>116</v>
      </c>
      <c r="D117" s="1013" t="s">
        <v>104</v>
      </c>
      <c r="E117" s="97" t="s">
        <v>1338</v>
      </c>
      <c r="F117" s="1889" t="s">
        <v>1435</v>
      </c>
      <c r="G117" s="2616"/>
      <c r="H117" s="2606"/>
      <c r="I117" s="3222">
        <f>'XM.FILE GOC'!I117</f>
        <v>0</v>
      </c>
      <c r="J117" s="3223"/>
      <c r="K117" s="3223"/>
      <c r="L117" s="3223">
        <f>'XM.FILE GOC'!L117</f>
        <v>0</v>
      </c>
      <c r="M117" s="3223"/>
      <c r="N117" s="3223"/>
      <c r="O117" s="2639"/>
      <c r="P117" s="3222">
        <f>'XM.FILE GOC'!P117</f>
        <v>0</v>
      </c>
      <c r="Q117" s="3223"/>
      <c r="R117" s="3223"/>
      <c r="S117" s="3223">
        <f>'XM.FILE GOC'!S117</f>
        <v>0</v>
      </c>
      <c r="T117" s="3223"/>
      <c r="U117" s="3223"/>
      <c r="V117" s="2646"/>
      <c r="W117" s="3222">
        <f>'XM.FILE GOC'!W117</f>
        <v>0</v>
      </c>
      <c r="X117" s="3223"/>
      <c r="Y117" s="3223"/>
      <c r="Z117" s="3223">
        <f>'XM.FILE GOC'!Z117</f>
        <v>0</v>
      </c>
      <c r="AA117" s="3223"/>
      <c r="AB117" s="3223"/>
      <c r="AC117" s="2653"/>
      <c r="AD117" s="3222">
        <f>'XM.FILE GOC'!AD117</f>
        <v>0</v>
      </c>
      <c r="AE117" s="3223"/>
      <c r="AF117" s="3223"/>
      <c r="AG117" s="3223">
        <f>'XM.FILE GOC'!AG117</f>
        <v>0</v>
      </c>
      <c r="AH117" s="3223"/>
      <c r="AI117" s="3223"/>
      <c r="AJ117" s="2653"/>
      <c r="AK117" s="3222">
        <f>'XM.FILE GOC'!AK117</f>
        <v>0</v>
      </c>
      <c r="AL117" s="3223"/>
      <c r="AM117" s="3223"/>
      <c r="AN117" s="3223">
        <f>'XM.FILE GOC'!AN117</f>
        <v>0</v>
      </c>
      <c r="AO117" s="3223"/>
      <c r="AP117" s="3223"/>
      <c r="AQ117" s="2646"/>
      <c r="AR117" s="3222">
        <f>'XM.FILE GOC'!AR117</f>
        <v>0</v>
      </c>
      <c r="AS117" s="3223"/>
      <c r="AT117" s="3223"/>
      <c r="AU117" s="3223">
        <f>'XM.FILE GOC'!AU117</f>
        <v>0</v>
      </c>
      <c r="AV117" s="3223"/>
      <c r="AW117" s="3347"/>
      <c r="AY117" s="2158"/>
    </row>
    <row r="118" spans="1:51" ht="45" hidden="1" customHeight="1">
      <c r="A118" s="1719" t="s">
        <v>310</v>
      </c>
      <c r="B118" s="1311" t="s">
        <v>126</v>
      </c>
      <c r="C118" s="1012" t="s">
        <v>1480</v>
      </c>
      <c r="D118" s="1013" t="s">
        <v>104</v>
      </c>
      <c r="E118" s="97" t="s">
        <v>1308</v>
      </c>
      <c r="F118" s="1897" t="s">
        <v>1436</v>
      </c>
      <c r="G118" s="2616"/>
      <c r="H118" s="2606"/>
      <c r="I118" s="3222">
        <f>'XM.FILE GOC'!I118</f>
        <v>0</v>
      </c>
      <c r="J118" s="3223"/>
      <c r="K118" s="3223"/>
      <c r="L118" s="3223">
        <f>'XM.FILE GOC'!L118</f>
        <v>0</v>
      </c>
      <c r="M118" s="3223"/>
      <c r="N118" s="3223"/>
      <c r="O118" s="2639"/>
      <c r="P118" s="3222">
        <f>'XM.FILE GOC'!P118</f>
        <v>0</v>
      </c>
      <c r="Q118" s="3223"/>
      <c r="R118" s="3223"/>
      <c r="S118" s="3223">
        <f>'XM.FILE GOC'!S118</f>
        <v>0</v>
      </c>
      <c r="T118" s="3223"/>
      <c r="U118" s="3223"/>
      <c r="V118" s="2646"/>
      <c r="W118" s="3222">
        <f>'XM.FILE GOC'!W118</f>
        <v>0</v>
      </c>
      <c r="X118" s="3223"/>
      <c r="Y118" s="3223"/>
      <c r="Z118" s="3223">
        <f>'XM.FILE GOC'!Z118</f>
        <v>0</v>
      </c>
      <c r="AA118" s="3223"/>
      <c r="AB118" s="3223"/>
      <c r="AC118" s="2653"/>
      <c r="AD118" s="3222">
        <f>'XM.FILE GOC'!AD118</f>
        <v>0</v>
      </c>
      <c r="AE118" s="3223"/>
      <c r="AF118" s="3223"/>
      <c r="AG118" s="3223">
        <f>'XM.FILE GOC'!AG118</f>
        <v>0</v>
      </c>
      <c r="AH118" s="3223"/>
      <c r="AI118" s="3223"/>
      <c r="AJ118" s="2653"/>
      <c r="AK118" s="3222">
        <f>'XM.FILE GOC'!AK118</f>
        <v>0</v>
      </c>
      <c r="AL118" s="3223"/>
      <c r="AM118" s="3223"/>
      <c r="AN118" s="3223">
        <f>'XM.FILE GOC'!AN118</f>
        <v>0</v>
      </c>
      <c r="AO118" s="3223"/>
      <c r="AP118" s="3223"/>
      <c r="AQ118" s="2646"/>
      <c r="AR118" s="3222">
        <f>'XM.FILE GOC'!AR118</f>
        <v>0</v>
      </c>
      <c r="AS118" s="3223"/>
      <c r="AT118" s="3223"/>
      <c r="AU118" s="3223">
        <f>'XM.FILE GOC'!AU118</f>
        <v>0</v>
      </c>
      <c r="AV118" s="3223"/>
      <c r="AW118" s="3347"/>
      <c r="AY118" s="2158"/>
    </row>
    <row r="119" spans="1:51" s="205" customFormat="1" ht="54" customHeight="1">
      <c r="A119" s="284" t="s">
        <v>74</v>
      </c>
      <c r="B119" s="285"/>
      <c r="C119" s="285"/>
      <c r="D119" s="285"/>
      <c r="E119" s="282"/>
      <c r="F119" s="282"/>
      <c r="G119" s="2596"/>
      <c r="H119" s="2470"/>
      <c r="I119" s="285"/>
      <c r="J119" s="2470"/>
      <c r="K119" s="285"/>
      <c r="L119" s="285"/>
      <c r="M119" s="1617"/>
      <c r="N119" s="285"/>
      <c r="O119" s="2470"/>
      <c r="P119" s="286"/>
      <c r="Q119" s="2470"/>
      <c r="R119" s="285"/>
      <c r="S119" s="285"/>
      <c r="T119" s="1621"/>
      <c r="U119" s="286"/>
      <c r="V119" s="2470"/>
      <c r="W119" s="286"/>
      <c r="X119" s="2470"/>
      <c r="Y119" s="285"/>
      <c r="Z119" s="285"/>
      <c r="AA119" s="1617"/>
      <c r="AB119" s="285"/>
      <c r="AC119" s="2470"/>
      <c r="AD119" s="285"/>
      <c r="AE119" s="2470"/>
      <c r="AF119" s="285"/>
      <c r="AG119" s="285"/>
      <c r="AH119" s="1617"/>
      <c r="AI119" s="285"/>
      <c r="AJ119" s="2569"/>
      <c r="AK119" s="286"/>
      <c r="AL119" s="2569"/>
      <c r="AM119" s="286"/>
      <c r="AN119" s="286"/>
      <c r="AO119" s="1625"/>
      <c r="AP119" s="286"/>
      <c r="AQ119" s="2569"/>
      <c r="AR119" s="286"/>
      <c r="AS119" s="2569"/>
      <c r="AT119" s="286"/>
      <c r="AU119" s="286"/>
      <c r="AV119" s="1625"/>
      <c r="AW119" s="1001"/>
    </row>
    <row r="120" spans="1:51" ht="55.5" customHeight="1">
      <c r="A120" s="1712" t="s">
        <v>304</v>
      </c>
      <c r="B120" s="1031" t="s">
        <v>126</v>
      </c>
      <c r="C120" s="101" t="s">
        <v>1100</v>
      </c>
      <c r="D120" s="1056" t="s">
        <v>1641</v>
      </c>
      <c r="E120" s="45" t="s">
        <v>1284</v>
      </c>
      <c r="F120" s="1889" t="s">
        <v>1284</v>
      </c>
      <c r="G120" s="2619"/>
      <c r="H120" s="2620"/>
      <c r="I120" s="3295">
        <f>'XM.FILE GOC'!I120</f>
        <v>42</v>
      </c>
      <c r="J120" s="3357"/>
      <c r="K120" s="3357"/>
      <c r="L120" s="3357"/>
      <c r="M120" s="3357"/>
      <c r="N120" s="3282"/>
      <c r="O120" s="2637"/>
      <c r="P120" s="3295">
        <f>'XM.FILE GOC'!P120</f>
        <v>40</v>
      </c>
      <c r="Q120" s="3357"/>
      <c r="R120" s="3357"/>
      <c r="S120" s="3357"/>
      <c r="T120" s="3357"/>
      <c r="U120" s="3282"/>
      <c r="V120" s="2647"/>
      <c r="W120" s="3295">
        <f>'XM.FILE GOC'!W120</f>
        <v>42</v>
      </c>
      <c r="X120" s="3357"/>
      <c r="Y120" s="3357"/>
      <c r="Z120" s="3357"/>
      <c r="AA120" s="3357"/>
      <c r="AB120" s="3282"/>
      <c r="AC120" s="2647"/>
      <c r="AD120" s="3295">
        <f>'XM.FILE GOC'!AD120:AI120</f>
        <v>0</v>
      </c>
      <c r="AE120" s="3357"/>
      <c r="AF120" s="3357"/>
      <c r="AG120" s="3357"/>
      <c r="AH120" s="3357"/>
      <c r="AI120" s="3282"/>
      <c r="AJ120" s="2647"/>
      <c r="AK120" s="3295">
        <f>'XM.FILE GOC'!AK120:AP120</f>
        <v>0</v>
      </c>
      <c r="AL120" s="3357"/>
      <c r="AM120" s="3357"/>
      <c r="AN120" s="3357"/>
      <c r="AO120" s="3357"/>
      <c r="AP120" s="3282"/>
      <c r="AQ120" s="2647"/>
      <c r="AR120" s="3295">
        <f>'XM.FILE GOC'!AR120</f>
        <v>0</v>
      </c>
      <c r="AS120" s="3357"/>
      <c r="AT120" s="3357"/>
      <c r="AU120" s="3357"/>
      <c r="AV120" s="3357"/>
      <c r="AW120" s="3282"/>
      <c r="AY120" s="2158"/>
    </row>
    <row r="121" spans="1:51" ht="55.5" customHeight="1">
      <c r="A121" s="1041" t="s">
        <v>305</v>
      </c>
      <c r="B121" s="1031" t="s">
        <v>126</v>
      </c>
      <c r="C121" s="101" t="s">
        <v>1101</v>
      </c>
      <c r="D121" s="1056" t="s">
        <v>1641</v>
      </c>
      <c r="E121" s="45" t="s">
        <v>1285</v>
      </c>
      <c r="F121" s="1897" t="s">
        <v>1285</v>
      </c>
      <c r="G121" s="2619"/>
      <c r="H121" s="2620"/>
      <c r="I121" s="3295">
        <f>'XM.FILE GOC'!I121</f>
        <v>195</v>
      </c>
      <c r="J121" s="3357"/>
      <c r="K121" s="3357"/>
      <c r="L121" s="3357"/>
      <c r="M121" s="3357"/>
      <c r="N121" s="3282"/>
      <c r="O121" s="2638"/>
      <c r="P121" s="3295">
        <f>'XM.FILE GOC'!P121</f>
        <v>197</v>
      </c>
      <c r="Q121" s="3357"/>
      <c r="R121" s="3357"/>
      <c r="S121" s="3357"/>
      <c r="T121" s="3357"/>
      <c r="U121" s="3282"/>
      <c r="V121" s="2644"/>
      <c r="W121" s="3295">
        <f>'XM.FILE GOC'!W121:AB121</f>
        <v>200</v>
      </c>
      <c r="X121" s="3357"/>
      <c r="Y121" s="3357"/>
      <c r="Z121" s="3357"/>
      <c r="AA121" s="3357"/>
      <c r="AB121" s="3282"/>
      <c r="AC121" s="2638"/>
      <c r="AD121" s="3295">
        <f>'XM.FILE GOC'!AD121</f>
        <v>0</v>
      </c>
      <c r="AE121" s="3357"/>
      <c r="AF121" s="3357"/>
      <c r="AG121" s="3357"/>
      <c r="AH121" s="3357"/>
      <c r="AI121" s="3282"/>
      <c r="AJ121" s="2655"/>
      <c r="AK121" s="3295">
        <f>'XM.FILE GOC'!AK121</f>
        <v>0</v>
      </c>
      <c r="AL121" s="3357"/>
      <c r="AM121" s="3357"/>
      <c r="AN121" s="3357"/>
      <c r="AO121" s="3357"/>
      <c r="AP121" s="3282"/>
      <c r="AQ121" s="2655"/>
      <c r="AR121" s="3295">
        <f>'XM.FILE GOC'!AR121</f>
        <v>0</v>
      </c>
      <c r="AS121" s="3357"/>
      <c r="AT121" s="3357"/>
      <c r="AU121" s="3357"/>
      <c r="AV121" s="3357"/>
      <c r="AW121" s="3282"/>
      <c r="AY121" s="2158"/>
    </row>
    <row r="122" spans="1:51" ht="19.5" customHeight="1"/>
    <row r="123" spans="1:51" ht="30.75" customHeight="1">
      <c r="C123" s="1898" t="str">
        <f>MENU!$AC$9</f>
        <v>Thứ 5,</v>
      </c>
      <c r="D123" s="1826" t="str">
        <f>MENU!$AD$9</f>
        <v>2024/08/01</v>
      </c>
      <c r="E123" s="1826"/>
      <c r="G123" s="2622"/>
      <c r="M123" s="264"/>
      <c r="T123" s="264"/>
      <c r="AA123" s="264"/>
      <c r="AH123" s="264"/>
    </row>
    <row r="124" spans="1:51" ht="39" customHeight="1">
      <c r="C124" s="3117" t="s">
        <v>314</v>
      </c>
      <c r="D124" s="3118" t="s">
        <v>123</v>
      </c>
      <c r="E124" s="3119" t="s">
        <v>1296</v>
      </c>
      <c r="F124" s="3115" t="s">
        <v>1289</v>
      </c>
      <c r="G124" s="2622"/>
      <c r="I124" s="268" t="s">
        <v>1454</v>
      </c>
      <c r="J124" s="2458"/>
      <c r="K124" s="268"/>
      <c r="L124" s="268"/>
      <c r="M124" s="268"/>
      <c r="N124" s="268"/>
      <c r="O124" s="2509"/>
      <c r="P124" s="281" t="s">
        <v>1444</v>
      </c>
      <c r="Q124" s="2458"/>
      <c r="R124" s="268"/>
      <c r="S124" s="268"/>
      <c r="T124" s="268"/>
      <c r="U124" s="269"/>
      <c r="V124" s="2458"/>
      <c r="W124" s="268" t="s">
        <v>1445</v>
      </c>
      <c r="X124" s="2458"/>
      <c r="Y124" s="268"/>
      <c r="Z124" s="268"/>
      <c r="AA124" s="268"/>
      <c r="AB124" s="268"/>
      <c r="AC124" s="2509"/>
      <c r="AD124" s="281" t="s">
        <v>1446</v>
      </c>
      <c r="AE124" s="2458"/>
      <c r="AF124" s="268"/>
      <c r="AG124" s="268"/>
      <c r="AH124" s="268"/>
      <c r="AI124" s="269"/>
      <c r="AJ124" s="2458"/>
      <c r="AK124" s="268" t="s">
        <v>1447</v>
      </c>
      <c r="AL124" s="2458"/>
      <c r="AM124" s="268"/>
      <c r="AN124" s="268"/>
      <c r="AO124" s="268"/>
      <c r="AP124" s="268"/>
      <c r="AQ124" s="2458"/>
      <c r="AR124" s="281" t="s">
        <v>1448</v>
      </c>
      <c r="AS124" s="2458"/>
      <c r="AT124" s="268"/>
      <c r="AU124" s="269"/>
      <c r="AV124" s="269"/>
      <c r="AW124" s="1000"/>
      <c r="AY124" s="3343" t="s">
        <v>1503</v>
      </c>
    </row>
    <row r="125" spans="1:51" ht="71.25" customHeight="1">
      <c r="C125" s="3117"/>
      <c r="D125" s="3118"/>
      <c r="E125" s="3120"/>
      <c r="F125" s="3116"/>
      <c r="G125" s="2622"/>
      <c r="I125" s="1754" t="s">
        <v>1431</v>
      </c>
      <c r="J125" s="2624" t="s">
        <v>1</v>
      </c>
      <c r="K125" s="3350" t="s">
        <v>1432</v>
      </c>
      <c r="L125" s="3350"/>
      <c r="M125" s="3351" t="s">
        <v>1489</v>
      </c>
      <c r="N125" s="3352"/>
      <c r="O125" s="2510"/>
      <c r="P125" s="1754" t="s">
        <v>1431</v>
      </c>
      <c r="Q125" s="2624" t="s">
        <v>1</v>
      </c>
      <c r="R125" s="3350" t="s">
        <v>1432</v>
      </c>
      <c r="S125" s="3350"/>
      <c r="T125" s="3351" t="s">
        <v>1489</v>
      </c>
      <c r="U125" s="3352"/>
      <c r="V125" s="2542"/>
      <c r="W125" s="1754" t="s">
        <v>1431</v>
      </c>
      <c r="X125" s="2624" t="s">
        <v>1</v>
      </c>
      <c r="Y125" s="3350" t="s">
        <v>1432</v>
      </c>
      <c r="Z125" s="3350"/>
      <c r="AA125" s="3351" t="s">
        <v>1489</v>
      </c>
      <c r="AB125" s="3352"/>
      <c r="AC125" s="2510"/>
      <c r="AD125" s="1754" t="s">
        <v>1431</v>
      </c>
      <c r="AE125" s="2624" t="s">
        <v>1</v>
      </c>
      <c r="AF125" s="3350" t="s">
        <v>1432</v>
      </c>
      <c r="AG125" s="3350"/>
      <c r="AH125" s="3351" t="s">
        <v>1489</v>
      </c>
      <c r="AI125" s="3352"/>
      <c r="AJ125" s="2510"/>
      <c r="AK125" s="2004" t="s">
        <v>1431</v>
      </c>
      <c r="AL125" s="2624" t="s">
        <v>1</v>
      </c>
      <c r="AM125" s="3350" t="s">
        <v>1432</v>
      </c>
      <c r="AN125" s="3350"/>
      <c r="AO125" s="3351" t="s">
        <v>1489</v>
      </c>
      <c r="AP125" s="3352"/>
      <c r="AQ125" s="2510"/>
      <c r="AR125" s="1754" t="s">
        <v>1431</v>
      </c>
      <c r="AS125" s="2624" t="s">
        <v>1</v>
      </c>
      <c r="AT125" s="3350" t="s">
        <v>1432</v>
      </c>
      <c r="AU125" s="3350"/>
      <c r="AV125" s="3351" t="s">
        <v>1489</v>
      </c>
      <c r="AW125" s="3352"/>
      <c r="AY125" s="3344"/>
    </row>
    <row r="126" spans="1:51" ht="39" customHeight="1">
      <c r="C126" s="1355" t="s">
        <v>1669</v>
      </c>
      <c r="D126" s="207" t="s">
        <v>4</v>
      </c>
      <c r="E126" s="1336" t="str">
        <f>E99</f>
        <v>5~6</v>
      </c>
      <c r="F126" s="1889" t="str">
        <f>F99</f>
        <v>(5.5± 0.5)</v>
      </c>
      <c r="G126" s="2622"/>
      <c r="I126" s="1726" t="str">
        <f>I99</f>
        <v/>
      </c>
      <c r="J126" s="2465" t="e">
        <f>($G$99-I126)*8000/1000</f>
        <v>#VALUE!</v>
      </c>
      <c r="K126" s="1738" t="s">
        <v>8</v>
      </c>
      <c r="L126" s="1739" t="str">
        <f>L99</f>
        <v/>
      </c>
      <c r="M126" s="1769" t="str">
        <f>IF('4.ZN-NI tt(CA1)'!I20="","",'4.ZN-NI tt(CA1)'!I20)</f>
        <v/>
      </c>
      <c r="N126" s="1740" t="s">
        <v>9</v>
      </c>
      <c r="O126" s="2535"/>
      <c r="P126" s="1726" t="str">
        <f>P99</f>
        <v/>
      </c>
      <c r="Q126" s="2465" t="e">
        <f>($G$99-P126)*8000/1000</f>
        <v>#VALUE!</v>
      </c>
      <c r="R126" s="1738" t="s">
        <v>8</v>
      </c>
      <c r="S126" s="1739" t="str">
        <f>S99</f>
        <v/>
      </c>
      <c r="T126" s="1769" t="str">
        <f>IF('4.ZN-NI tt(CA1)'!M20="","",'4.ZN-NI tt(CA1)'!M20)</f>
        <v/>
      </c>
      <c r="U126" s="1740" t="s">
        <v>9</v>
      </c>
      <c r="V126" s="2535" t="e">
        <f>XM.HN!#REF!</f>
        <v>#REF!</v>
      </c>
      <c r="W126" s="1726" t="str">
        <f>W99</f>
        <v/>
      </c>
      <c r="X126" s="2465" t="e">
        <f>($G$99-W126)*8000/1000</f>
        <v>#VALUE!</v>
      </c>
      <c r="Y126" s="1738" t="s">
        <v>8</v>
      </c>
      <c r="Z126" s="1739" t="str">
        <f>Z99</f>
        <v/>
      </c>
      <c r="AA126" s="1769" t="str">
        <f>IF('4.ZN-NI tt(CA1)'!Q20="","",'4.ZN-NI tt(CA1)'!Q20)</f>
        <v/>
      </c>
      <c r="AB126" s="1740" t="s">
        <v>9</v>
      </c>
      <c r="AC126" s="2562"/>
      <c r="AD126" s="1726" t="str">
        <f>AD99</f>
        <v/>
      </c>
      <c r="AE126" s="2465" t="e">
        <f>($G$99-AD126)*8000/1000</f>
        <v>#VALUE!</v>
      </c>
      <c r="AF126" s="1738" t="s">
        <v>8</v>
      </c>
      <c r="AG126" s="1739" t="str">
        <f>AG99</f>
        <v/>
      </c>
      <c r="AH126" s="1769" t="str">
        <f>IF('4.ZN-NI tt(CA1)'!I20="","",'4.ZN-NI tt(CA1)'!I20)</f>
        <v/>
      </c>
      <c r="AI126" s="1740" t="s">
        <v>9</v>
      </c>
      <c r="AJ126" s="2517" t="e">
        <f>AP99*1.3</f>
        <v>#VALUE!</v>
      </c>
      <c r="AK126" s="1726" t="str">
        <f>AK99</f>
        <v/>
      </c>
      <c r="AL126" s="2465" t="e">
        <f>($G$99-AK126)*8000/1000</f>
        <v>#VALUE!</v>
      </c>
      <c r="AM126" s="1738" t="s">
        <v>8</v>
      </c>
      <c r="AN126" s="1739" t="str">
        <f>AN99</f>
        <v/>
      </c>
      <c r="AO126" s="1769" t="str">
        <f>IF('4.ZN-NI tt(CA2)'!M20="","",'4.ZN-NI tt(CA2)'!M20)</f>
        <v/>
      </c>
      <c r="AP126" s="1740" t="s">
        <v>9</v>
      </c>
      <c r="AQ126" s="2518"/>
      <c r="AR126" s="1726" t="str">
        <f>AR99</f>
        <v/>
      </c>
      <c r="AS126" s="2465" t="e">
        <f>($G$99-AR126)*8000/1000</f>
        <v>#VALUE!</v>
      </c>
      <c r="AT126" s="1738" t="s">
        <v>8</v>
      </c>
      <c r="AU126" s="1739" t="str">
        <f>AU99</f>
        <v/>
      </c>
      <c r="AV126" s="1769" t="str">
        <f>IF('4.ZN-NI tt(CA2)'!Q20="","",'4.ZN-NI tt(CA2)'!Q20)</f>
        <v/>
      </c>
      <c r="AW126" s="1740" t="s">
        <v>9</v>
      </c>
      <c r="AY126" s="2158"/>
    </row>
    <row r="127" spans="1:51" ht="39" customHeight="1">
      <c r="C127" s="207" t="s">
        <v>191</v>
      </c>
      <c r="D127" s="207" t="s">
        <v>4</v>
      </c>
      <c r="E127" s="47" t="str">
        <f>E100</f>
        <v>130~140</v>
      </c>
      <c r="F127" s="1889" t="str">
        <f>F100</f>
        <v>(135 ± 5)</v>
      </c>
      <c r="G127" s="2622"/>
      <c r="I127" s="1775">
        <f t="shared" ref="I127:I129" si="34">I100</f>
        <v>0</v>
      </c>
      <c r="J127" s="2465" t="e">
        <f>(#REF!-I127)*8000/1000</f>
        <v>#REF!</v>
      </c>
      <c r="K127" s="1738" t="s">
        <v>8</v>
      </c>
      <c r="L127" s="1739" t="str">
        <f>L100</f>
        <v/>
      </c>
      <c r="M127" s="1769" t="str">
        <f>IF('4.ZN-NI tt(CA1)'!I21="","",'4.ZN-NI tt(CA1)'!I21)</f>
        <v/>
      </c>
      <c r="N127" s="1740" t="s">
        <v>9</v>
      </c>
      <c r="O127" s="2535"/>
      <c r="P127" s="1775">
        <f t="shared" ref="P127:P129" si="35">P100</f>
        <v>0</v>
      </c>
      <c r="Q127" s="2465"/>
      <c r="R127" s="1738" t="s">
        <v>8</v>
      </c>
      <c r="S127" s="1739" t="str">
        <f>S100</f>
        <v/>
      </c>
      <c r="T127" s="1769" t="str">
        <f>IF('4.ZN-NI tt(CA1)'!M21="","",'4.ZN-NI tt(CA1)'!M21)</f>
        <v/>
      </c>
      <c r="U127" s="1740" t="s">
        <v>9</v>
      </c>
      <c r="V127" s="2535"/>
      <c r="W127" s="1775">
        <f>W100</f>
        <v>0</v>
      </c>
      <c r="X127" s="2465"/>
      <c r="Y127" s="1738" t="s">
        <v>8</v>
      </c>
      <c r="Z127" s="1739" t="str">
        <f>Z100</f>
        <v/>
      </c>
      <c r="AA127" s="1769" t="str">
        <f>IF('4.ZN-NI tt(CA1)'!Q21="","",'4.ZN-NI tt(CA1)'!Q21)</f>
        <v/>
      </c>
      <c r="AB127" s="1740" t="s">
        <v>9</v>
      </c>
      <c r="AC127" s="2562"/>
      <c r="AD127" s="1775">
        <f t="shared" ref="AD127:AD129" si="36">AD100</f>
        <v>0</v>
      </c>
      <c r="AE127" s="2465" t="e">
        <f>(#REF!-AD127)*8000/1000</f>
        <v>#REF!</v>
      </c>
      <c r="AF127" s="1738" t="s">
        <v>8</v>
      </c>
      <c r="AG127" s="1739" t="str">
        <f>AG100</f>
        <v/>
      </c>
      <c r="AH127" s="1769" t="str">
        <f>IF('4.ZN-NI tt(CA1)'!I21="","",'4.ZN-NI tt(CA1)'!I21)</f>
        <v/>
      </c>
      <c r="AI127" s="1740" t="s">
        <v>9</v>
      </c>
      <c r="AJ127" s="2517" t="e">
        <f>AP100*8</f>
        <v>#VALUE!</v>
      </c>
      <c r="AK127" s="1775">
        <f t="shared" ref="AK127:AK129" si="37">AK100</f>
        <v>0</v>
      </c>
      <c r="AL127" s="2465" t="e">
        <f>(#REF!-AK127)*8000/1000</f>
        <v>#REF!</v>
      </c>
      <c r="AM127" s="1738" t="s">
        <v>8</v>
      </c>
      <c r="AN127" s="1739" t="str">
        <f>AN100</f>
        <v/>
      </c>
      <c r="AO127" s="1769" t="str">
        <f>IF('4.ZN-NI tt(CA2)'!M21="","",'4.ZN-NI tt(CA2)'!M21)</f>
        <v/>
      </c>
      <c r="AP127" s="1740" t="s">
        <v>9</v>
      </c>
      <c r="AQ127" s="2518"/>
      <c r="AR127" s="1775">
        <f t="shared" ref="AR127:AR129" si="38">AR100</f>
        <v>0</v>
      </c>
      <c r="AS127" s="2465" t="e">
        <f>(#REF!-AR127)*8000/1000</f>
        <v>#REF!</v>
      </c>
      <c r="AT127" s="1738" t="s">
        <v>8</v>
      </c>
      <c r="AU127" s="1739" t="str">
        <f>AU100</f>
        <v/>
      </c>
      <c r="AV127" s="1769" t="str">
        <f>IF('4.ZN-NI tt(CA2)'!Q21="","",'4.ZN-NI tt(CA2)'!Q21)</f>
        <v/>
      </c>
      <c r="AW127" s="1740" t="s">
        <v>9</v>
      </c>
      <c r="AY127" s="2158"/>
    </row>
    <row r="128" spans="1:51" ht="48.75" customHeight="1">
      <c r="C128" s="2268" t="str">
        <f>MENU!AE46</f>
        <v>Cr2O3   三價鉻Ni-       PH
HALO Pha mới: 2024/03/30</v>
      </c>
      <c r="D128" s="207" t="s">
        <v>119</v>
      </c>
      <c r="E128" s="1065" t="str">
        <f>E101</f>
        <v>3.0-4.5</v>
      </c>
      <c r="F128" s="1889" t="str">
        <f t="shared" ref="F128:F129" si="39">F101</f>
        <v>(4.3±0.2)</v>
      </c>
      <c r="G128" s="2622"/>
      <c r="I128" s="1731">
        <f t="shared" si="34"/>
        <v>0</v>
      </c>
      <c r="J128" s="2482">
        <f>($G$100-I128)*8000/1000</f>
        <v>1080</v>
      </c>
      <c r="K128" s="2061"/>
      <c r="L128" s="2062"/>
      <c r="M128" s="1769" t="str">
        <f>IF('4.ZN-NI tt(CA1)'!I22="","",'4.ZN-NI tt(CA1)'!I22)</f>
        <v/>
      </c>
      <c r="N128" s="2063"/>
      <c r="O128" s="2540"/>
      <c r="P128" s="1731">
        <f t="shared" si="35"/>
        <v>0</v>
      </c>
      <c r="Q128" s="2482"/>
      <c r="R128" s="2061"/>
      <c r="S128" s="2062"/>
      <c r="T128" s="1769" t="str">
        <f>IF('4.ZN-NI tt(CA1)'!M22="","",'4.ZN-NI tt(CA1)'!M22)</f>
        <v/>
      </c>
      <c r="U128" s="2063"/>
      <c r="V128" s="2540"/>
      <c r="W128" s="1731">
        <f>W101</f>
        <v>0</v>
      </c>
      <c r="X128" s="2482"/>
      <c r="Y128" s="2061"/>
      <c r="Z128" s="2062"/>
      <c r="AA128" s="1769" t="str">
        <f>IF('4.ZN-NI tt(CA1)'!Q22="","",'4.ZN-NI tt(CA1)'!Q22)</f>
        <v/>
      </c>
      <c r="AB128" s="2064"/>
      <c r="AC128" s="2567"/>
      <c r="AD128" s="1731">
        <f t="shared" si="36"/>
        <v>0</v>
      </c>
      <c r="AE128" s="2482">
        <f>($G$100-AD128)*8000/1000</f>
        <v>1080</v>
      </c>
      <c r="AF128" s="2061"/>
      <c r="AG128" s="2062"/>
      <c r="AH128" s="1769" t="str">
        <f>IF('4.ZN-NI tt(CA1)'!I22="","",'4.ZN-NI tt(CA1)'!I22)</f>
        <v/>
      </c>
      <c r="AI128" s="2063"/>
      <c r="AJ128" s="2567">
        <f>XM.HN!R73</f>
        <v>0</v>
      </c>
      <c r="AK128" s="1731">
        <f t="shared" si="37"/>
        <v>0</v>
      </c>
      <c r="AL128" s="2482">
        <f>($G$100-AK128)*8000/1000</f>
        <v>1080</v>
      </c>
      <c r="AM128" s="2061"/>
      <c r="AN128" s="2062"/>
      <c r="AO128" s="1769" t="str">
        <f>IF('4.ZN-NI tt(CA2)'!M22="","",'4.ZN-NI tt(CA2)'!M22)</f>
        <v/>
      </c>
      <c r="AP128" s="2063"/>
      <c r="AQ128" s="2581"/>
      <c r="AR128" s="1731">
        <f t="shared" si="38"/>
        <v>0</v>
      </c>
      <c r="AS128" s="2626">
        <f>($G$100-AR128)*8000/1000</f>
        <v>1080</v>
      </c>
      <c r="AT128" s="1762"/>
      <c r="AU128" s="1729"/>
      <c r="AV128" s="1769" t="str">
        <f>IF('4.ZN-NI tt(CA2)'!Q22="","",'4.ZN-NI tt(CA2)'!Q22)</f>
        <v/>
      </c>
      <c r="AW128" s="1771"/>
      <c r="AY128" s="2158"/>
    </row>
    <row r="129" spans="1:51" ht="48.75" customHeight="1">
      <c r="C129" s="208" t="s">
        <v>1670</v>
      </c>
      <c r="D129" s="207" t="s">
        <v>54</v>
      </c>
      <c r="E129" s="1065">
        <f>E102</f>
        <v>0</v>
      </c>
      <c r="F129" s="1889">
        <f t="shared" si="39"/>
        <v>0</v>
      </c>
      <c r="G129" s="2622"/>
      <c r="I129" s="2786" t="str">
        <f t="shared" si="34"/>
        <v/>
      </c>
      <c r="J129" s="2787" t="e">
        <f>(#REF!-I129)*8000/1000</f>
        <v>#REF!</v>
      </c>
      <c r="K129" s="2788" t="s">
        <v>8</v>
      </c>
      <c r="L129" s="2793" t="str">
        <f>L102</f>
        <v/>
      </c>
      <c r="M129" s="2789" t="str">
        <f>IF('4.ZN-NI tt(CA1)'!I23="","",'4.ZN-NI tt(CA1)'!I23)</f>
        <v/>
      </c>
      <c r="N129" s="1860" t="s">
        <v>9</v>
      </c>
      <c r="O129" s="2549"/>
      <c r="P129" s="2786" t="str">
        <f t="shared" si="35"/>
        <v/>
      </c>
      <c r="Q129" s="2787"/>
      <c r="R129" s="2788" t="s">
        <v>8</v>
      </c>
      <c r="S129" s="2793" t="str">
        <f>S102</f>
        <v/>
      </c>
      <c r="T129" s="2789" t="str">
        <f>IF('4.ZN-NI tt(CA1)'!M23="","",'4.ZN-NI tt(CA1)'!M23)</f>
        <v/>
      </c>
      <c r="U129" s="1860" t="s">
        <v>9</v>
      </c>
      <c r="V129" s="2549"/>
      <c r="W129" s="2786" t="str">
        <f>W102</f>
        <v/>
      </c>
      <c r="X129" s="2787"/>
      <c r="Y129" s="2788" t="s">
        <v>8</v>
      </c>
      <c r="Z129" s="2793" t="str">
        <f>Z102</f>
        <v/>
      </c>
      <c r="AA129" s="2789" t="str">
        <f>IF('4.ZN-NI tt(CA1)'!Q23="","",'4.ZN-NI tt(CA1)'!Q23)</f>
        <v/>
      </c>
      <c r="AB129" s="1860" t="s">
        <v>9</v>
      </c>
      <c r="AC129" s="2549"/>
      <c r="AD129" s="2786" t="str">
        <f t="shared" si="36"/>
        <v/>
      </c>
      <c r="AE129" s="2787" t="e">
        <f>(#REF!-AD129)*8000/1000</f>
        <v>#REF!</v>
      </c>
      <c r="AF129" s="2788" t="s">
        <v>8</v>
      </c>
      <c r="AG129" s="2793" t="str">
        <f>AG102</f>
        <v/>
      </c>
      <c r="AH129" s="2789" t="str">
        <f>IF('4.ZN-NI tt(CA1)'!I23="","",'4.ZN-NI tt(CA1)'!I23)</f>
        <v/>
      </c>
      <c r="AI129" s="1860" t="s">
        <v>9</v>
      </c>
      <c r="AJ129" s="2549" t="e">
        <f>AP102*8</f>
        <v>#VALUE!</v>
      </c>
      <c r="AK129" s="2786" t="str">
        <f t="shared" si="37"/>
        <v/>
      </c>
      <c r="AL129" s="2787" t="e">
        <f>(#REF!-AK129)*8000/1000</f>
        <v>#REF!</v>
      </c>
      <c r="AM129" s="2788" t="s">
        <v>8</v>
      </c>
      <c r="AN129" s="2793" t="str">
        <f>AN102</f>
        <v/>
      </c>
      <c r="AO129" s="2789" t="str">
        <f>IF('4.ZN-NI tt(CA2)'!M23="","",'4.ZN-NI tt(CA2)'!M23)</f>
        <v/>
      </c>
      <c r="AP129" s="1860" t="s">
        <v>9</v>
      </c>
      <c r="AQ129" s="2518"/>
      <c r="AR129" s="2786" t="str">
        <f t="shared" si="38"/>
        <v/>
      </c>
      <c r="AS129" s="2787" t="e">
        <f>(#REF!-AR129)*8000/1000</f>
        <v>#REF!</v>
      </c>
      <c r="AT129" s="2788" t="s">
        <v>8</v>
      </c>
      <c r="AU129" s="2793" t="str">
        <f>AU102</f>
        <v/>
      </c>
      <c r="AV129" s="2789" t="str">
        <f>IF('4.ZN-NI tt(CA2)'!Q23="","",'4.ZN-NI tt(CA2)'!Q23)</f>
        <v/>
      </c>
      <c r="AW129" s="1860" t="s">
        <v>9</v>
      </c>
      <c r="AY129" s="1041" t="s">
        <v>1633</v>
      </c>
    </row>
    <row r="130" spans="1:51" ht="33.75" customHeight="1">
      <c r="G130" s="2065"/>
      <c r="M130" s="264"/>
      <c r="T130" s="264"/>
      <c r="AA130" s="264"/>
      <c r="AH130" s="264"/>
      <c r="AI130" s="264"/>
    </row>
    <row r="131" spans="1:51" ht="47.25" customHeight="1">
      <c r="C131" s="1905" t="s">
        <v>60</v>
      </c>
      <c r="D131" s="1905" t="s">
        <v>62</v>
      </c>
      <c r="E131" s="1905" t="s">
        <v>1290</v>
      </c>
      <c r="F131" s="1889" t="s">
        <v>1289</v>
      </c>
      <c r="G131" s="2622"/>
      <c r="I131" s="1720" t="s">
        <v>45</v>
      </c>
      <c r="J131" s="2469"/>
      <c r="K131" s="1721"/>
      <c r="L131" s="1721" t="s">
        <v>61</v>
      </c>
      <c r="M131" s="1721"/>
      <c r="N131" s="1773"/>
      <c r="O131" s="2529"/>
      <c r="P131" s="1720" t="s">
        <v>45</v>
      </c>
      <c r="Q131" s="2469"/>
      <c r="R131" s="1721"/>
      <c r="S131" s="1721" t="s">
        <v>61</v>
      </c>
      <c r="T131" s="1721"/>
      <c r="U131" s="2045"/>
      <c r="V131" s="2554"/>
      <c r="W131" s="1721" t="s">
        <v>45</v>
      </c>
      <c r="X131" s="2469"/>
      <c r="Y131" s="1721"/>
      <c r="Z131" s="1721" t="s">
        <v>61</v>
      </c>
      <c r="AA131" s="1773"/>
      <c r="AB131" s="2047"/>
      <c r="AC131" s="2563"/>
      <c r="AD131" s="1721" t="s">
        <v>45</v>
      </c>
      <c r="AE131" s="2469"/>
      <c r="AF131" s="1721"/>
      <c r="AG131" s="1773" t="s">
        <v>61</v>
      </c>
      <c r="AH131" s="1720"/>
      <c r="AI131" s="2045"/>
      <c r="AJ131" s="2563"/>
      <c r="AK131" s="1721" t="s">
        <v>45</v>
      </c>
      <c r="AL131" s="2469"/>
      <c r="AM131" s="1773"/>
      <c r="AN131" s="2046" t="s">
        <v>61</v>
      </c>
      <c r="AO131" s="1721"/>
      <c r="AP131" s="2045"/>
      <c r="AQ131" s="2563"/>
      <c r="AR131" s="1721" t="s">
        <v>45</v>
      </c>
      <c r="AS131" s="2508"/>
      <c r="AT131" s="1720"/>
      <c r="AU131" s="1721" t="s">
        <v>61</v>
      </c>
      <c r="AV131" s="1721"/>
      <c r="AW131" s="2045"/>
      <c r="AY131" s="1042" t="s">
        <v>1503</v>
      </c>
    </row>
    <row r="132" spans="1:51" ht="39" customHeight="1">
      <c r="C132" s="1012" t="s">
        <v>116</v>
      </c>
      <c r="D132" s="1013" t="s">
        <v>104</v>
      </c>
      <c r="E132" s="97" t="str">
        <f>E117</f>
        <v>24~28</v>
      </c>
      <c r="F132" s="1889" t="str">
        <f>F117</f>
        <v>(26±2)</v>
      </c>
      <c r="G132" s="2622"/>
      <c r="I132" s="3295">
        <f>I117</f>
        <v>0</v>
      </c>
      <c r="J132" s="3357"/>
      <c r="K132" s="3309"/>
      <c r="L132" s="3313">
        <f>L117</f>
        <v>0</v>
      </c>
      <c r="M132" s="3357"/>
      <c r="N132" s="3309"/>
      <c r="O132" s="2541"/>
      <c r="P132" s="3295">
        <f>P117</f>
        <v>0</v>
      </c>
      <c r="Q132" s="3357"/>
      <c r="R132" s="3309"/>
      <c r="S132" s="3313">
        <f>S117</f>
        <v>0</v>
      </c>
      <c r="T132" s="3357"/>
      <c r="U132" s="3309"/>
      <c r="V132" s="2558"/>
      <c r="W132" s="3295">
        <f>W117</f>
        <v>0</v>
      </c>
      <c r="X132" s="3357"/>
      <c r="Y132" s="3309"/>
      <c r="Z132" s="3313">
        <f>Z117</f>
        <v>0</v>
      </c>
      <c r="AA132" s="3357"/>
      <c r="AB132" s="3309"/>
      <c r="AC132" s="2568"/>
      <c r="AD132" s="3295">
        <f>AD117</f>
        <v>0</v>
      </c>
      <c r="AE132" s="3357"/>
      <c r="AF132" s="3309"/>
      <c r="AG132" s="3313">
        <f>AG117</f>
        <v>0</v>
      </c>
      <c r="AH132" s="3357"/>
      <c r="AI132" s="3309"/>
      <c r="AJ132" s="2541"/>
      <c r="AK132" s="3295">
        <f>AK117</f>
        <v>0</v>
      </c>
      <c r="AL132" s="3357"/>
      <c r="AM132" s="3309"/>
      <c r="AN132" s="3313">
        <f>AN117</f>
        <v>0</v>
      </c>
      <c r="AO132" s="3357"/>
      <c r="AP132" s="3309"/>
      <c r="AQ132" s="2558"/>
      <c r="AR132" s="3295">
        <f>AR117</f>
        <v>0</v>
      </c>
      <c r="AS132" s="3357"/>
      <c r="AT132" s="3309"/>
      <c r="AU132" s="3313">
        <f>AU117</f>
        <v>0</v>
      </c>
      <c r="AV132" s="3357"/>
      <c r="AW132" s="3282"/>
      <c r="AY132" s="2158"/>
    </row>
    <row r="133" spans="1:51" ht="39" customHeight="1">
      <c r="C133" s="1012" t="s">
        <v>1480</v>
      </c>
      <c r="D133" s="1013" t="s">
        <v>104</v>
      </c>
      <c r="E133" s="97" t="str">
        <f>E118</f>
        <v>20~30</v>
      </c>
      <c r="F133" s="1889" t="str">
        <f>F118</f>
        <v>(25±5)</v>
      </c>
      <c r="G133" s="2622"/>
      <c r="I133" s="3295">
        <f>I118</f>
        <v>0</v>
      </c>
      <c r="J133" s="3357"/>
      <c r="K133" s="3309"/>
      <c r="L133" s="3313">
        <f>L118</f>
        <v>0</v>
      </c>
      <c r="M133" s="3357"/>
      <c r="N133" s="3309"/>
      <c r="O133" s="2541"/>
      <c r="P133" s="3295">
        <f>P118</f>
        <v>0</v>
      </c>
      <c r="Q133" s="3357"/>
      <c r="R133" s="3309"/>
      <c r="S133" s="3313">
        <f>S118</f>
        <v>0</v>
      </c>
      <c r="T133" s="3357"/>
      <c r="U133" s="3309"/>
      <c r="V133" s="2558"/>
      <c r="W133" s="3295">
        <f>W118</f>
        <v>0</v>
      </c>
      <c r="X133" s="3357"/>
      <c r="Y133" s="3309"/>
      <c r="Z133" s="3313">
        <f>Z118</f>
        <v>0</v>
      </c>
      <c r="AA133" s="3357"/>
      <c r="AB133" s="3309"/>
      <c r="AC133" s="2568"/>
      <c r="AD133" s="3295">
        <f>AD118</f>
        <v>0</v>
      </c>
      <c r="AE133" s="3357"/>
      <c r="AF133" s="3309"/>
      <c r="AG133" s="3313">
        <f>AG118</f>
        <v>0</v>
      </c>
      <c r="AH133" s="3357"/>
      <c r="AI133" s="3309"/>
      <c r="AJ133" s="2541"/>
      <c r="AK133" s="3295">
        <f>AK118</f>
        <v>0</v>
      </c>
      <c r="AL133" s="3357"/>
      <c r="AM133" s="3309"/>
      <c r="AN133" s="3313">
        <f>AN118</f>
        <v>0</v>
      </c>
      <c r="AO133" s="3357"/>
      <c r="AP133" s="3309"/>
      <c r="AQ133" s="2558"/>
      <c r="AR133" s="3295">
        <f>AR118</f>
        <v>0</v>
      </c>
      <c r="AS133" s="3357"/>
      <c r="AT133" s="3309"/>
      <c r="AU133" s="3313">
        <f>AU118</f>
        <v>0</v>
      </c>
      <c r="AV133" s="3357"/>
      <c r="AW133" s="3282"/>
      <c r="AY133" s="2158"/>
    </row>
    <row r="134" spans="1:51" ht="39" customHeight="1"/>
    <row r="135" spans="1:51" ht="33.75" customHeight="1">
      <c r="A135" s="1417" t="s">
        <v>1304</v>
      </c>
      <c r="B135" s="1565"/>
      <c r="C135" s="1906"/>
      <c r="D135" s="1906"/>
    </row>
    <row r="136" spans="1:51" ht="33.75" customHeight="1">
      <c r="A136" s="1416" t="s">
        <v>1306</v>
      </c>
      <c r="B136" s="1565"/>
      <c r="C136" s="1906"/>
      <c r="D136" s="1906"/>
    </row>
    <row r="137" spans="1:51" ht="33.75" customHeight="1">
      <c r="A137" s="1416" t="s">
        <v>1305</v>
      </c>
      <c r="B137" s="1565"/>
      <c r="C137" s="1906"/>
      <c r="D137" s="1906"/>
    </row>
    <row r="138" spans="1:51" ht="33.75" customHeight="1">
      <c r="E138" s="3359" t="s">
        <v>1405</v>
      </c>
      <c r="F138" s="3359"/>
    </row>
    <row r="139" spans="1:51" ht="33.75" customHeight="1">
      <c r="C139" s="1565"/>
      <c r="D139" s="205"/>
      <c r="E139" s="205"/>
      <c r="F139" s="3359" t="s">
        <v>1406</v>
      </c>
      <c r="G139" s="3359"/>
      <c r="H139" s="3359"/>
      <c r="I139" s="3359"/>
    </row>
    <row r="140" spans="1:51" ht="33.75" customHeight="1" thickBot="1">
      <c r="C140" s="1413"/>
      <c r="D140" s="1413"/>
      <c r="E140" s="205"/>
      <c r="F140" s="205"/>
    </row>
    <row r="141" spans="1:51" ht="33.75" customHeight="1" thickBot="1">
      <c r="C141" s="1425"/>
      <c r="D141" s="1425"/>
      <c r="E141" s="1597"/>
      <c r="F141" s="1597"/>
    </row>
    <row r="142" spans="1:51" ht="33.75" customHeight="1">
      <c r="C142" s="1410"/>
      <c r="D142" s="1410"/>
      <c r="E142" s="3360" t="s">
        <v>843</v>
      </c>
      <c r="F142" s="1597"/>
    </row>
    <row r="143" spans="1:51" ht="33.75" customHeight="1" thickBot="1">
      <c r="C143" s="1414"/>
      <c r="D143" s="1414"/>
      <c r="E143" s="3360"/>
      <c r="F143" s="1597"/>
    </row>
    <row r="144" spans="1:51" ht="33.75" customHeight="1" thickBot="1">
      <c r="C144" s="1411"/>
      <c r="D144" s="1411"/>
      <c r="E144" s="1597"/>
      <c r="F144" s="1597"/>
    </row>
    <row r="145" spans="3:9" ht="33.75" customHeight="1">
      <c r="C145" s="1412"/>
      <c r="D145" s="1412"/>
      <c r="E145" s="1597"/>
      <c r="F145" s="1597"/>
    </row>
    <row r="146" spans="3:9" ht="33.75" customHeight="1">
      <c r="C146" s="1565"/>
      <c r="D146" s="1565"/>
      <c r="E146" s="1597"/>
      <c r="F146" s="3359" t="s">
        <v>1289</v>
      </c>
      <c r="G146" s="3359"/>
      <c r="H146" s="3359"/>
      <c r="I146" s="3359"/>
    </row>
    <row r="147" spans="3:9" ht="33.75" customHeight="1">
      <c r="C147" s="1565"/>
      <c r="D147" s="1565"/>
      <c r="E147" s="1597"/>
      <c r="F147" s="1597"/>
    </row>
    <row r="148" spans="3:9" ht="33.75" customHeight="1">
      <c r="C148" s="205"/>
      <c r="D148" s="205"/>
      <c r="E148" s="3359" t="s">
        <v>1405</v>
      </c>
      <c r="F148" s="3359"/>
    </row>
    <row r="149" spans="3:9" ht="33.75" customHeight="1"/>
    <row r="150" spans="3:9" ht="33.75" customHeight="1"/>
  </sheetData>
  <sheetProtection formatCells="0" formatColumns="0" formatRows="0" insertColumns="0" insertRows="0" insertHyperlinks="0" deleteColumns="0" deleteRows="0" selectLockedCells="1" sort="0" autoFilter="0" pivotTables="0"/>
  <mergeCells count="500">
    <mergeCell ref="AG63:AI63"/>
    <mergeCell ref="AG65:AI65"/>
    <mergeCell ref="AD63:AF63"/>
    <mergeCell ref="S106:U106"/>
    <mergeCell ref="Z108:AB108"/>
    <mergeCell ref="AG108:AI108"/>
    <mergeCell ref="AN108:AP108"/>
    <mergeCell ref="S107:U107"/>
    <mergeCell ref="Z107:AB107"/>
    <mergeCell ref="AG107:AI107"/>
    <mergeCell ref="AN107:AP107"/>
    <mergeCell ref="W107:Y107"/>
    <mergeCell ref="AD107:AF107"/>
    <mergeCell ref="AD108:AF108"/>
    <mergeCell ref="W108:Y108"/>
    <mergeCell ref="S108:U108"/>
    <mergeCell ref="W106:Y106"/>
    <mergeCell ref="AK107:AM107"/>
    <mergeCell ref="AK106:AM106"/>
    <mergeCell ref="AG68:AJ68"/>
    <mergeCell ref="AG69:AI69"/>
    <mergeCell ref="AD68:AF68"/>
    <mergeCell ref="AD66:AF66"/>
    <mergeCell ref="AK64:AM64"/>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Z109:AC109"/>
    <mergeCell ref="AG109:AJ109"/>
    <mergeCell ref="P111:R111"/>
    <mergeCell ref="W111:Y111"/>
    <mergeCell ref="L113:N113"/>
    <mergeCell ref="P112:R112"/>
    <mergeCell ref="Z112:AB112"/>
    <mergeCell ref="Z114:AB114"/>
    <mergeCell ref="W109:Y109"/>
    <mergeCell ref="W110:Y110"/>
    <mergeCell ref="AD112:AF112"/>
    <mergeCell ref="P114:R114"/>
    <mergeCell ref="S114:U114"/>
    <mergeCell ref="W114:Y114"/>
    <mergeCell ref="AD109:AF109"/>
    <mergeCell ref="AG110:AI110"/>
    <mergeCell ref="Z111:AB111"/>
    <mergeCell ref="AG111:AI111"/>
    <mergeCell ref="S112:U112"/>
    <mergeCell ref="S110:U110"/>
    <mergeCell ref="S111:U111"/>
    <mergeCell ref="W112:Y112"/>
    <mergeCell ref="P113:R113"/>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I35:K35"/>
    <mergeCell ref="P35:R35"/>
    <mergeCell ref="L35:N35"/>
    <mergeCell ref="I63:K63"/>
    <mergeCell ref="S34:U34"/>
    <mergeCell ref="W34:Y34"/>
    <mergeCell ref="S35:U35"/>
    <mergeCell ref="Z35:AB35"/>
    <mergeCell ref="S70:U70"/>
    <mergeCell ref="Z70:AB70"/>
    <mergeCell ref="W67:Y67"/>
    <mergeCell ref="W37:AB37"/>
    <mergeCell ref="Z34:AB34"/>
    <mergeCell ref="Z65:AB65"/>
    <mergeCell ref="W35:Y35"/>
    <mergeCell ref="W68:Y68"/>
    <mergeCell ref="W69:Y69"/>
    <mergeCell ref="L65:N65"/>
    <mergeCell ref="S65:U65"/>
    <mergeCell ref="L69:N69"/>
    <mergeCell ref="S69:U69"/>
    <mergeCell ref="Z69:AB69"/>
    <mergeCell ref="L64:N64"/>
    <mergeCell ref="S64:U64"/>
    <mergeCell ref="I30:K30"/>
    <mergeCell ref="W31:Y31"/>
    <mergeCell ref="Z30:AB30"/>
    <mergeCell ref="S32:U32"/>
    <mergeCell ref="W32:Y32"/>
    <mergeCell ref="Z32:AB32"/>
    <mergeCell ref="S31:U31"/>
    <mergeCell ref="Z31:AB31"/>
    <mergeCell ref="I33:K33"/>
    <mergeCell ref="W33:Y33"/>
    <mergeCell ref="L33:N33"/>
    <mergeCell ref="P33:R33"/>
    <mergeCell ref="S33:U33"/>
    <mergeCell ref="Z33:AB33"/>
    <mergeCell ref="I31:K31"/>
    <mergeCell ref="L31:N31"/>
    <mergeCell ref="AZ30:AZ31"/>
    <mergeCell ref="AU31:AW31"/>
    <mergeCell ref="AR31:AT31"/>
    <mergeCell ref="AR30:AT30"/>
    <mergeCell ref="AU30:AW30"/>
    <mergeCell ref="AR32:AT32"/>
    <mergeCell ref="AN31:AP31"/>
    <mergeCell ref="AN32:AP32"/>
    <mergeCell ref="AN30:AP30"/>
    <mergeCell ref="AR34:AT34"/>
    <mergeCell ref="AU34:AW34"/>
    <mergeCell ref="AN34:AP34"/>
    <mergeCell ref="AN65:AP65"/>
    <mergeCell ref="AR106:AT106"/>
    <mergeCell ref="AU106:AW106"/>
    <mergeCell ref="AR73:AW73"/>
    <mergeCell ref="AR66:AT66"/>
    <mergeCell ref="AU67:AW67"/>
    <mergeCell ref="AR68:AT68"/>
    <mergeCell ref="AU68:AW68"/>
    <mergeCell ref="AR69:AT69"/>
    <mergeCell ref="AU69:AW69"/>
    <mergeCell ref="AR67:AT67"/>
    <mergeCell ref="AN64:AP64"/>
    <mergeCell ref="AN68:AQ68"/>
    <mergeCell ref="AN66:AP66"/>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AK72:AP72"/>
    <mergeCell ref="AK66:AM66"/>
    <mergeCell ref="AK68:AM68"/>
    <mergeCell ref="I29:K29"/>
    <mergeCell ref="L29:N29"/>
    <mergeCell ref="P29:R29"/>
    <mergeCell ref="S29:U29"/>
    <mergeCell ref="W29:Y29"/>
    <mergeCell ref="I28:K28"/>
    <mergeCell ref="AN109:AQ109"/>
    <mergeCell ref="AN116:AQ116"/>
    <mergeCell ref="AN112:AP112"/>
    <mergeCell ref="AD113:AF113"/>
    <mergeCell ref="AG113:AI113"/>
    <mergeCell ref="AK113:AM113"/>
    <mergeCell ref="AK115:AM115"/>
    <mergeCell ref="AG116:AJ116"/>
    <mergeCell ref="AD116:AF116"/>
    <mergeCell ref="AK116:AM116"/>
    <mergeCell ref="AG112:AI112"/>
    <mergeCell ref="W72:AB72"/>
    <mergeCell ref="I70:K70"/>
    <mergeCell ref="AD33:AF33"/>
    <mergeCell ref="AG33:AI33"/>
    <mergeCell ref="AK33:AM33"/>
    <mergeCell ref="AH77:AI77"/>
    <mergeCell ref="AM77:AN77"/>
    <mergeCell ref="M77:N77"/>
    <mergeCell ref="Y77:Z77"/>
    <mergeCell ref="L28:N28"/>
    <mergeCell ref="P28:R28"/>
    <mergeCell ref="S28:U28"/>
    <mergeCell ref="AD30:AF30"/>
    <mergeCell ref="AD32:AF32"/>
    <mergeCell ref="AG32:AI32"/>
    <mergeCell ref="AK32:AM32"/>
    <mergeCell ref="AG30:AI30"/>
    <mergeCell ref="AK30:AM30"/>
    <mergeCell ref="L30:N30"/>
    <mergeCell ref="P30:R30"/>
    <mergeCell ref="S30:U30"/>
    <mergeCell ref="W30:Y30"/>
    <mergeCell ref="P31:R31"/>
    <mergeCell ref="AD31:AF31"/>
    <mergeCell ref="AG31:AI31"/>
    <mergeCell ref="AK31:AM31"/>
    <mergeCell ref="L32:N32"/>
    <mergeCell ref="AD72:AI72"/>
    <mergeCell ref="Z64:AB64"/>
    <mergeCell ref="AG64:AI64"/>
    <mergeCell ref="L66:N66"/>
    <mergeCell ref="AD35:AF35"/>
    <mergeCell ref="AK35:AM35"/>
    <mergeCell ref="L70:N70"/>
    <mergeCell ref="K77:L77"/>
    <mergeCell ref="S105:U105"/>
    <mergeCell ref="Z63:AB63"/>
    <mergeCell ref="P69:R69"/>
    <mergeCell ref="L67:O67"/>
    <mergeCell ref="L68:O68"/>
    <mergeCell ref="I69:K69"/>
    <mergeCell ref="I72:N72"/>
    <mergeCell ref="P72:U72"/>
    <mergeCell ref="L63:N63"/>
    <mergeCell ref="S63:U63"/>
    <mergeCell ref="Z67:AC67"/>
    <mergeCell ref="Z68:AC68"/>
    <mergeCell ref="P70:R70"/>
    <mergeCell ref="W70:Y70"/>
    <mergeCell ref="I64:K64"/>
    <mergeCell ref="Z105:AB105"/>
    <mergeCell ref="W73:AB73"/>
    <mergeCell ref="I67:K67"/>
    <mergeCell ref="I68:K68"/>
    <mergeCell ref="I38:N38"/>
    <mergeCell ref="P38:U38"/>
    <mergeCell ref="S67:V67"/>
    <mergeCell ref="S68:V68"/>
    <mergeCell ref="P68:R68"/>
    <mergeCell ref="I65:K65"/>
    <mergeCell ref="I66:K66"/>
    <mergeCell ref="P63:R63"/>
    <mergeCell ref="P65:R65"/>
    <mergeCell ref="P64:R64"/>
    <mergeCell ref="P66:R66"/>
    <mergeCell ref="W38:AB38"/>
    <mergeCell ref="S66:U66"/>
    <mergeCell ref="Z66:AB66"/>
    <mergeCell ref="AN35:AP35"/>
    <mergeCell ref="AR116:AT116"/>
    <mergeCell ref="AD111:AF111"/>
    <mergeCell ref="AD110:AF110"/>
    <mergeCell ref="AK110:AM110"/>
    <mergeCell ref="AF77:AG77"/>
    <mergeCell ref="Z106:AB106"/>
    <mergeCell ref="Z113:AB113"/>
    <mergeCell ref="AD114:AF114"/>
    <mergeCell ref="AG114:AI114"/>
    <mergeCell ref="AK114:AM114"/>
    <mergeCell ref="Z110:AB110"/>
    <mergeCell ref="AA77:AB77"/>
    <mergeCell ref="W105:Y105"/>
    <mergeCell ref="R77:S77"/>
    <mergeCell ref="T77:U77"/>
    <mergeCell ref="AN70:AP70"/>
    <mergeCell ref="AG67:AJ67"/>
    <mergeCell ref="AD69:AF69"/>
    <mergeCell ref="AR105:AT105"/>
    <mergeCell ref="AD65:AF65"/>
    <mergeCell ref="AG66:AI66"/>
    <mergeCell ref="AZ26:BA26"/>
    <mergeCell ref="AZ36:BA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AK63:AM63"/>
    <mergeCell ref="AU64:AW64"/>
    <mergeCell ref="AG35:AI35"/>
    <mergeCell ref="AD38:AI38"/>
    <mergeCell ref="AD64:AF64"/>
    <mergeCell ref="AD73:AI73"/>
    <mergeCell ref="AD106:AF106"/>
    <mergeCell ref="AD105:AF105"/>
    <mergeCell ref="AK69:AM69"/>
    <mergeCell ref="AU105:AW105"/>
    <mergeCell ref="AN105:AP105"/>
    <mergeCell ref="AN106:AP106"/>
    <mergeCell ref="AD67:AF67"/>
    <mergeCell ref="AG105:AI105"/>
    <mergeCell ref="AG106:AI106"/>
    <mergeCell ref="AK67:AM67"/>
    <mergeCell ref="AN69:AP69"/>
    <mergeCell ref="AG70:AI70"/>
    <mergeCell ref="I114:K114"/>
    <mergeCell ref="L114:N114"/>
    <mergeCell ref="I115:K115"/>
    <mergeCell ref="P115:R115"/>
    <mergeCell ref="W115:Y115"/>
    <mergeCell ref="I113:K113"/>
    <mergeCell ref="S113:U113"/>
    <mergeCell ref="W113:Y113"/>
    <mergeCell ref="I107:K107"/>
    <mergeCell ref="P107:R107"/>
    <mergeCell ref="I111:K111"/>
    <mergeCell ref="L112:N112"/>
    <mergeCell ref="I112:K112"/>
    <mergeCell ref="L110:N110"/>
    <mergeCell ref="L111:N111"/>
    <mergeCell ref="S109:V109"/>
    <mergeCell ref="L107:N107"/>
    <mergeCell ref="P108:R108"/>
    <mergeCell ref="I105:K105"/>
    <mergeCell ref="L105:N105"/>
    <mergeCell ref="L106:N106"/>
    <mergeCell ref="I106:K106"/>
    <mergeCell ref="L108:N108"/>
    <mergeCell ref="I108:K108"/>
    <mergeCell ref="I109:K109"/>
    <mergeCell ref="I110:K110"/>
    <mergeCell ref="P109:R109"/>
    <mergeCell ref="P110:R110"/>
    <mergeCell ref="L109:O109"/>
    <mergeCell ref="P105:R105"/>
    <mergeCell ref="P106:R106"/>
    <mergeCell ref="AD115:AF115"/>
    <mergeCell ref="S118:U118"/>
    <mergeCell ref="Z118:AB118"/>
    <mergeCell ref="Z133:AB133"/>
    <mergeCell ref="W120:AB120"/>
    <mergeCell ref="I132:K132"/>
    <mergeCell ref="L132:N132"/>
    <mergeCell ref="P132:R132"/>
    <mergeCell ref="S132:U132"/>
    <mergeCell ref="W132:Y132"/>
    <mergeCell ref="Z132:AB132"/>
    <mergeCell ref="I117:K117"/>
    <mergeCell ref="I116:K116"/>
    <mergeCell ref="S117:U117"/>
    <mergeCell ref="L115:N115"/>
    <mergeCell ref="S115:U115"/>
    <mergeCell ref="P133:R133"/>
    <mergeCell ref="S133:U133"/>
    <mergeCell ref="W133:Y133"/>
    <mergeCell ref="P121:U121"/>
    <mergeCell ref="W121:AB121"/>
    <mergeCell ref="P120:U120"/>
    <mergeCell ref="Z116:AC116"/>
    <mergeCell ref="W116:Y116"/>
    <mergeCell ref="AA125:AB125"/>
    <mergeCell ref="AD118:AF118"/>
    <mergeCell ref="AH125:AI125"/>
    <mergeCell ref="E138:F138"/>
    <mergeCell ref="E142:E143"/>
    <mergeCell ref="E148:F148"/>
    <mergeCell ref="F139:I139"/>
    <mergeCell ref="F146:I146"/>
    <mergeCell ref="I120:N120"/>
    <mergeCell ref="I118:K118"/>
    <mergeCell ref="L118:N118"/>
    <mergeCell ref="I133:K133"/>
    <mergeCell ref="L133:N133"/>
    <mergeCell ref="I121:N121"/>
    <mergeCell ref="AD120:AI120"/>
    <mergeCell ref="C124:C125"/>
    <mergeCell ref="D124:D125"/>
    <mergeCell ref="E124:E125"/>
    <mergeCell ref="F124:F125"/>
    <mergeCell ref="K125:L125"/>
    <mergeCell ref="M125:N125"/>
    <mergeCell ref="R125:S125"/>
    <mergeCell ref="T125:U125"/>
    <mergeCell ref="Y125:Z125"/>
    <mergeCell ref="W117:Y117"/>
    <mergeCell ref="Z117:AB117"/>
    <mergeCell ref="P116:R116"/>
    <mergeCell ref="L116:O116"/>
    <mergeCell ref="S116:V116"/>
    <mergeCell ref="P117:R117"/>
    <mergeCell ref="AD117:AF117"/>
    <mergeCell ref="AG117:AI117"/>
    <mergeCell ref="W118:Y118"/>
    <mergeCell ref="P118:R118"/>
    <mergeCell ref="AG118:AI118"/>
    <mergeCell ref="L117:N117"/>
    <mergeCell ref="AR132:AT132"/>
    <mergeCell ref="AU132:AW132"/>
    <mergeCell ref="AR118:AT118"/>
    <mergeCell ref="AU114:AW114"/>
    <mergeCell ref="AM125:AN125"/>
    <mergeCell ref="AO125:AP125"/>
    <mergeCell ref="AD121:AI121"/>
    <mergeCell ref="AK133:AM133"/>
    <mergeCell ref="AN133:AP133"/>
    <mergeCell ref="AR121:AW121"/>
    <mergeCell ref="AK120:AP120"/>
    <mergeCell ref="AR120:AW120"/>
    <mergeCell ref="AD133:AF133"/>
    <mergeCell ref="AG133:AI133"/>
    <mergeCell ref="AD132:AF132"/>
    <mergeCell ref="AG132:AI132"/>
    <mergeCell ref="AK121:AP121"/>
    <mergeCell ref="AF125:AG125"/>
    <mergeCell ref="AR133:AT133"/>
    <mergeCell ref="AU133:AW133"/>
    <mergeCell ref="AK132:AM132"/>
    <mergeCell ref="AN132:AP132"/>
    <mergeCell ref="AT125:AU125"/>
    <mergeCell ref="AV125:AW125"/>
    <mergeCell ref="Z115:AB115"/>
    <mergeCell ref="AG115:AI115"/>
    <mergeCell ref="AN115:AP115"/>
    <mergeCell ref="AY3:AY5"/>
    <mergeCell ref="AY40:AY42"/>
    <mergeCell ref="AY75:AY77"/>
    <mergeCell ref="AY6:AY8"/>
    <mergeCell ref="AY9:AY11"/>
    <mergeCell ref="AY12:AY13"/>
    <mergeCell ref="AY14:AY15"/>
    <mergeCell ref="AN110:AP110"/>
    <mergeCell ref="AN111:AP111"/>
    <mergeCell ref="AR112:AT112"/>
    <mergeCell ref="AU65:AW65"/>
    <mergeCell ref="AN113:AP113"/>
    <mergeCell ref="AN63:AP63"/>
    <mergeCell ref="AR109:AT109"/>
    <mergeCell ref="AU110:AW110"/>
    <mergeCell ref="AR111:AT111"/>
    <mergeCell ref="AR28:AT28"/>
    <mergeCell ref="AU28:AW28"/>
    <mergeCell ref="AU32:AW32"/>
    <mergeCell ref="AR33:AT33"/>
    <mergeCell ref="AU33:AW33"/>
    <mergeCell ref="AY43:AY44"/>
    <mergeCell ref="AY45:AY46"/>
    <mergeCell ref="AY47:AY48"/>
    <mergeCell ref="AY49:AY50"/>
    <mergeCell ref="AK111:AM111"/>
    <mergeCell ref="AR108:AT108"/>
    <mergeCell ref="AK108:AM108"/>
    <mergeCell ref="AK112:AM112"/>
    <mergeCell ref="AK109:AM109"/>
    <mergeCell ref="AU108:AW108"/>
    <mergeCell ref="AK105:AM105"/>
    <mergeCell ref="AR72:AW72"/>
    <mergeCell ref="AT77:AU77"/>
    <mergeCell ref="AU70:AW70"/>
    <mergeCell ref="AO77:AP77"/>
    <mergeCell ref="AU66:AW66"/>
    <mergeCell ref="AV77:AW77"/>
    <mergeCell ref="AU111:AW111"/>
    <mergeCell ref="AR110:AT110"/>
    <mergeCell ref="AR107:AT107"/>
    <mergeCell ref="AU109:AW109"/>
    <mergeCell ref="AU112:AW112"/>
    <mergeCell ref="AU107:AW107"/>
    <mergeCell ref="AK65:AM65"/>
    <mergeCell ref="AK117:AM117"/>
    <mergeCell ref="AN117:AP117"/>
    <mergeCell ref="AK118:AM118"/>
    <mergeCell ref="AN118:AP118"/>
    <mergeCell ref="AY124:AY125"/>
    <mergeCell ref="AY78:AY79"/>
    <mergeCell ref="AY80:AY81"/>
    <mergeCell ref="AY82:AY83"/>
    <mergeCell ref="AY84:AY85"/>
    <mergeCell ref="AY95:AY96"/>
    <mergeCell ref="AU118:AW118"/>
    <mergeCell ref="AR117:AT117"/>
    <mergeCell ref="AU117:AW117"/>
    <mergeCell ref="AR114:AT114"/>
    <mergeCell ref="AU116:AW116"/>
    <mergeCell ref="AR115:AT115"/>
    <mergeCell ref="AU115:AW115"/>
    <mergeCell ref="AU113:AW113"/>
    <mergeCell ref="AN114:AP114"/>
    <mergeCell ref="AR113:AT113"/>
  </mergeCells>
  <phoneticPr fontId="7" type="noConversion"/>
  <conditionalFormatting sqref="AS57">
    <cfRule type="expression" dxfId="3153" priority="8407">
      <formula>AS57&lt;8%</formula>
    </cfRule>
    <cfRule type="expression" dxfId="3152" priority="8408">
      <formula>AS57&gt;15%</formula>
    </cfRule>
  </conditionalFormatting>
  <conditionalFormatting sqref="I37 AR37 AK37 AD37 W37 P37">
    <cfRule type="expression" dxfId="3151" priority="8037">
      <formula>I37&lt;300</formula>
    </cfRule>
    <cfRule type="expression" dxfId="3150" priority="8038">
      <formula>I37&gt;360</formula>
    </cfRule>
  </conditionalFormatting>
  <conditionalFormatting sqref="I120 AD120 W120 P120 AK120 AR120 I38 AR38 AK38 AD38 W38 P38">
    <cfRule type="expression" dxfId="3149" priority="8035">
      <formula>I38&lt;30</formula>
    </cfRule>
    <cfRule type="expression" dxfId="3148" priority="8036">
      <formula>I38&gt;50</formula>
    </cfRule>
  </conditionalFormatting>
  <conditionalFormatting sqref="I72 P72 V72:W72 AD72 AK72 AR72">
    <cfRule type="expression" dxfId="3147" priority="7057">
      <formula>I72&lt;100</formula>
    </cfRule>
    <cfRule type="expression" dxfId="3146" priority="7058">
      <formula>I72&gt;200</formula>
    </cfRule>
  </conditionalFormatting>
  <conditionalFormatting sqref="I73 P73 AD73 AK73 AR73 V73:W73">
    <cfRule type="expression" dxfId="3145" priority="7055">
      <formula>I73&lt;20</formula>
    </cfRule>
    <cfRule type="expression" dxfId="3144" priority="7056">
      <formula>I73&gt;50</formula>
    </cfRule>
  </conditionalFormatting>
  <conditionalFormatting sqref="I121 AD121 W121 P121 AK121 AR121">
    <cfRule type="expression" dxfId="3143" priority="6215">
      <formula>I121&lt;160</formula>
    </cfRule>
    <cfRule type="expression" dxfId="3142" priority="6216">
      <formula>I121&gt;220</formula>
    </cfRule>
  </conditionalFormatting>
  <conditionalFormatting sqref="I116 L116:M116 W116 Z116:AA116 AD116 AG116:AH116 P116 S116:T116 AR116 AU116:AV116 AK116 AN116:AO116">
    <cfRule type="expression" dxfId="3141" priority="6059">
      <formula>I116&lt;35</formula>
    </cfRule>
    <cfRule type="expression" dxfId="3140" priority="6060">
      <formula>I116&gt;45</formula>
    </cfRule>
  </conditionalFormatting>
  <conditionalFormatting sqref="I16 P16 W16 AD16 AK16 AR16 I51 P51 W51 AD51 AK51 AR51">
    <cfRule type="cellIs" dxfId="3139" priority="6029" operator="between">
      <formula>130</formula>
      <formula>132.99</formula>
    </cfRule>
    <cfRule type="cellIs" dxfId="3138" priority="6030" operator="between">
      <formula>147.1</formula>
      <formula>150</formula>
    </cfRule>
    <cfRule type="expression" dxfId="3137" priority="6031">
      <formula>I16&lt;130</formula>
    </cfRule>
    <cfRule type="expression" dxfId="3136" priority="6032">
      <formula>I16&gt;150</formula>
    </cfRule>
  </conditionalFormatting>
  <conditionalFormatting sqref="I17 P17 W17 AD17 AK17 AR17 I52 P52 W52 AD52 AK52 AR52">
    <cfRule type="expression" dxfId="3135" priority="6015">
      <formula>I17&lt;8</formula>
    </cfRule>
    <cfRule type="expression" dxfId="3134" priority="6016">
      <formula>I17&gt;12</formula>
    </cfRule>
  </conditionalFormatting>
  <conditionalFormatting sqref="I21 I56 P21 W21 AD21 AK21 AR21 P56 W56 AD56 AK56 AR56">
    <cfRule type="expression" dxfId="3133" priority="5995">
      <formula>I21&lt;17%</formula>
    </cfRule>
    <cfRule type="expression" dxfId="3132" priority="5996">
      <formula>I21&gt;27%</formula>
    </cfRule>
  </conditionalFormatting>
  <conditionalFormatting sqref="I22 P22 W22 AD22 AK22 AR22">
    <cfRule type="cellIs" dxfId="3131" priority="5989" operator="between">
      <formula>5%</formula>
      <formula>6.99%</formula>
    </cfRule>
    <cfRule type="cellIs" dxfId="3130" priority="5990" operator="between">
      <formula>12.99%</formula>
      <formula>15%</formula>
    </cfRule>
    <cfRule type="expression" dxfId="3129" priority="5991">
      <formula>I22&lt;5%</formula>
    </cfRule>
    <cfRule type="expression" dxfId="3128" priority="5992">
      <formula>I22&gt;15%</formula>
    </cfRule>
  </conditionalFormatting>
  <conditionalFormatting sqref="I32 L32:M32 P32 S32:T32 W32 Z32:AA32 AD32 AG32:AH32 AK32 AN32:AO32 AR32 AU32:AV32">
    <cfRule type="cellIs" dxfId="3127" priority="5535" operator="between">
      <formula>20</formula>
      <formula>25.9</formula>
    </cfRule>
    <cfRule type="cellIs" dxfId="3126" priority="5536" operator="between">
      <formula>34.1</formula>
      <formula>35</formula>
    </cfRule>
    <cfRule type="expression" dxfId="3125" priority="5537">
      <formula>I32&lt;20</formula>
    </cfRule>
    <cfRule type="expression" dxfId="3124" priority="5538">
      <formula>I32&gt;35</formula>
    </cfRule>
  </conditionalFormatting>
  <conditionalFormatting sqref="I54 P54 W54 AD54 AK54 AR54">
    <cfRule type="cellIs" dxfId="3123" priority="5157" operator="between">
      <formula>2</formula>
      <formula>2.199</formula>
    </cfRule>
    <cfRule type="cellIs" dxfId="3122" priority="5158" operator="between">
      <formula>2.41</formula>
      <formula>2.5</formula>
    </cfRule>
    <cfRule type="expression" dxfId="3121" priority="5159">
      <formula>I54&lt;2</formula>
    </cfRule>
    <cfRule type="expression" dxfId="3120" priority="5160">
      <formula>I54&gt;2.5</formula>
    </cfRule>
  </conditionalFormatting>
  <conditionalFormatting sqref="I67 L67:M67 P67 S67:T67 W67 Z67:AA67 AD67 AG67:AH67 AK67 AN67:AO67 AR67 AU67:AV67">
    <cfRule type="cellIs" dxfId="3119" priority="4871" operator="between">
      <formula>22</formula>
      <formula>25.99</formula>
    </cfRule>
    <cfRule type="cellIs" dxfId="3118" priority="4872" operator="between">
      <formula>34.1</formula>
      <formula>35</formula>
    </cfRule>
    <cfRule type="expression" dxfId="3117" priority="4873">
      <formula>I67&lt;22</formula>
    </cfRule>
    <cfRule type="expression" dxfId="3116" priority="4874">
      <formula>I67&gt;35</formula>
    </cfRule>
  </conditionalFormatting>
  <conditionalFormatting sqref="I68 L68:M68 P68 S68:T68 W68 Z68:AA68 AD68 AG68:AH68 AK68 AN68:AO68 AR68 AU68:AV68">
    <cfRule type="cellIs" dxfId="3115" priority="4867" operator="between">
      <formula>30</formula>
      <formula>31.99</formula>
    </cfRule>
    <cfRule type="cellIs" dxfId="3114" priority="4868" operator="between">
      <formula>36.1</formula>
      <formula>38</formula>
    </cfRule>
    <cfRule type="expression" dxfId="3113" priority="4869">
      <formula>I68&lt;30</formula>
    </cfRule>
    <cfRule type="expression" dxfId="3112" priority="4870">
      <formula>I68&gt;38</formula>
    </cfRule>
  </conditionalFormatting>
  <conditionalFormatting sqref="I86 P86 W86 AD86 AK86 AR86">
    <cfRule type="expression" dxfId="3111" priority="4590" stopIfTrue="1">
      <formula>I86&lt;135</formula>
    </cfRule>
  </conditionalFormatting>
  <conditionalFormatting sqref="I86 P86 W86 AD86 AK86 AR86">
    <cfRule type="expression" dxfId="3110" priority="4589" stopIfTrue="1">
      <formula>I86&gt;145</formula>
    </cfRule>
  </conditionalFormatting>
  <conditionalFormatting sqref="I88 P88 W88 AD88 AK88 AR88">
    <cfRule type="cellIs" dxfId="3109" priority="4582" operator="between">
      <formula>7.01</formula>
      <formula>8</formula>
    </cfRule>
    <cfRule type="expression" dxfId="3108" priority="4583">
      <formula>I88&lt;5</formula>
    </cfRule>
    <cfRule type="expression" dxfId="3107" priority="4584">
      <formula>I88&gt;8</formula>
    </cfRule>
  </conditionalFormatting>
  <conditionalFormatting sqref="I98 P98 W98 AD98 AK98 AR98">
    <cfRule type="cellIs" dxfId="3106" priority="4346" operator="between">
      <formula>2.21</formula>
      <formula>2.4</formula>
    </cfRule>
    <cfRule type="expression" dxfId="3105" priority="4347">
      <formula>I98&lt;1.8</formula>
    </cfRule>
    <cfRule type="expression" dxfId="3104" priority="4348">
      <formula>I98&gt;2.4</formula>
    </cfRule>
  </conditionalFormatting>
  <conditionalFormatting sqref="I127 W127 AR127 AD127 AK127 P127 I100 W100 AR100 AD100 AK100 P100">
    <cfRule type="expression" dxfId="3103" priority="4300" stopIfTrue="1">
      <formula>I100&gt;140</formula>
    </cfRule>
    <cfRule type="expression" dxfId="3102" priority="4301" stopIfTrue="1">
      <formula>I100&lt;130</formula>
    </cfRule>
  </conditionalFormatting>
  <conditionalFormatting sqref="W128 AR128 AD128 AK128 P128 AR101 W101 AD101 I101 AK101 P101 I128">
    <cfRule type="cellIs" dxfId="3101" priority="4294" operator="between">
      <formula>3</formula>
      <formula>4.099</formula>
    </cfRule>
    <cfRule type="expression" dxfId="3100" priority="4296">
      <formula>I101&lt;3</formula>
    </cfRule>
    <cfRule type="expression" dxfId="3099" priority="4297">
      <formula>I101&gt;4.5</formula>
    </cfRule>
  </conditionalFormatting>
  <conditionalFormatting sqref="I109 L109:M109 P109 S109:T109 W109 Z109:AA109 AD109 AG109:AH109 AK109 AN109:AO109 AR109 AU109:AV109">
    <cfRule type="expression" dxfId="3098" priority="4088">
      <formula>I109&lt;22</formula>
    </cfRule>
    <cfRule type="expression" dxfId="3097" priority="4089">
      <formula>I109&gt;28</formula>
    </cfRule>
  </conditionalFormatting>
  <conditionalFormatting sqref="I116:AW116">
    <cfRule type="cellIs" dxfId="3096" priority="3988" operator="between">
      <formula>43.1</formula>
      <formula>45</formula>
    </cfRule>
    <cfRule type="cellIs" dxfId="3095" priority="3989" operator="between">
      <formula>35</formula>
      <formula>36.9</formula>
    </cfRule>
  </conditionalFormatting>
  <conditionalFormatting sqref="I133 AR133 Z133:AB133 W133 AG133:AI133 AD133 L133:N133 AU133 AN133:AP133 AK133 S133:U133 P133 Z118:AB118 W118 AG118:AI118 AD118 L118:N118 I118 AU118:AW118 AR118 AN118:AP118 AK118 S118:U118 P118 I115 L115 P115 S115 W115 Z115 AD115 AG115 AK115 AN115 AR115 AU115">
    <cfRule type="expression" dxfId="3094" priority="3978">
      <formula>I115&lt;20</formula>
    </cfRule>
    <cfRule type="expression" dxfId="3093" priority="3979">
      <formula>I115&gt;30</formula>
    </cfRule>
  </conditionalFormatting>
  <conditionalFormatting sqref="AR132 AG132:AH132 I132 L132:M132 W132 Z132:AA132 AD132 AU132 AK132 AN132:AO132 P132 S132:T132 I117 L117:M117 W117 Z117:AA117 AD117 AG117:AH117 AR117 AU117:AV117 AK117 AN117:AO117 P117 S117:T117">
    <cfRule type="expression" dxfId="3092" priority="3976">
      <formula>I117&lt;24</formula>
    </cfRule>
    <cfRule type="expression" dxfId="3091" priority="3977">
      <formula>I117&gt;28</formula>
    </cfRule>
  </conditionalFormatting>
  <conditionalFormatting sqref="I126 W126 AD126 AR126 AK126 P126 I99 W99 AD99 AR99 AK99 P99">
    <cfRule type="expression" dxfId="3090" priority="3944">
      <formula>I99&lt;5</formula>
    </cfRule>
    <cfRule type="expression" dxfId="3089" priority="3945">
      <formula>I99&gt;6</formula>
    </cfRule>
  </conditionalFormatting>
  <conditionalFormatting sqref="I97 P97 W97 AD97 AK97 AR97">
    <cfRule type="cellIs" dxfId="3088" priority="3910" operator="between">
      <formula>8</formula>
      <formula>9.99</formula>
    </cfRule>
    <cfRule type="cellIs" dxfId="3087" priority="3911" operator="between">
      <formula>14.1</formula>
      <formula>16</formula>
    </cfRule>
    <cfRule type="expression" dxfId="3086" priority="3912">
      <formula>I97&lt;8</formula>
    </cfRule>
    <cfRule type="expression" dxfId="3085" priority="3913">
      <formula>I97&gt;16</formula>
    </cfRule>
  </conditionalFormatting>
  <conditionalFormatting sqref="I57 P57 AR57 AK57 AD57 W57">
    <cfRule type="expression" dxfId="3084" priority="2532">
      <formula>I57&lt;5%</formula>
    </cfRule>
    <cfRule type="expression" dxfId="3083" priority="2533">
      <formula>I57&gt;15%</formula>
    </cfRule>
  </conditionalFormatting>
  <conditionalFormatting sqref="I57 P57 AR57 AK57 AD57 W57">
    <cfRule type="cellIs" dxfId="3082" priority="2530" operator="between">
      <formula>5%</formula>
      <formula>6.99%</formula>
    </cfRule>
    <cfRule type="cellIs" dxfId="3081" priority="2531" operator="between">
      <formula>13.1%</formula>
      <formula>15%</formula>
    </cfRule>
  </conditionalFormatting>
  <conditionalFormatting sqref="I6 I9 P6 P9 W6 W9 AD6 AD9 AK6 AK9 AR6 AR9">
    <cfRule type="cellIs" dxfId="3080" priority="2454" operator="between">
      <formula>20</formula>
      <formula>24.99</formula>
    </cfRule>
    <cfRule type="cellIs" dxfId="3079" priority="2455" operator="between">
      <formula>35.1</formula>
      <formula>40</formula>
    </cfRule>
    <cfRule type="expression" dxfId="3078" priority="2456">
      <formula>I6&lt;20</formula>
    </cfRule>
    <cfRule type="expression" dxfId="3077" priority="2457">
      <formula>I6&gt;40</formula>
    </cfRule>
  </conditionalFormatting>
  <conditionalFormatting sqref="I12 I14 P12 P14 W12 W14 AD12 AD14 AK12 AK14 AR12 AR14">
    <cfRule type="expression" dxfId="3076" priority="2452" stopIfTrue="1">
      <formula>I12&gt;80</formula>
    </cfRule>
    <cfRule type="expression" dxfId="3075" priority="2453" stopIfTrue="1">
      <formula>I12&lt;60</formula>
    </cfRule>
  </conditionalFormatting>
  <conditionalFormatting sqref="I43 I45 P43 P45 W43 W45 AD43 AD45 AK43 AK45 AR43 AR45">
    <cfRule type="cellIs" dxfId="3074" priority="2418" operator="between">
      <formula>60</formula>
      <formula>64.99</formula>
    </cfRule>
    <cfRule type="cellIs" dxfId="3073" priority="2419" operator="between">
      <formula>75.1</formula>
      <formula>80</formula>
    </cfRule>
    <cfRule type="expression" dxfId="3072" priority="2420">
      <formula>I43&lt;60</formula>
    </cfRule>
    <cfRule type="expression" dxfId="3071" priority="2421">
      <formula>I43&gt;80</formula>
    </cfRule>
  </conditionalFormatting>
  <conditionalFormatting sqref="I82 AD82 AR84 W84 AR82 W82 AK84 P84 AK82 P82 AD84 I84">
    <cfRule type="cellIs" dxfId="3070" priority="2414" operator="between">
      <formula>50</formula>
      <formula>54.99</formula>
    </cfRule>
    <cfRule type="cellIs" dxfId="3069" priority="2415" operator="between">
      <formula>65.01</formula>
      <formula>70</formula>
    </cfRule>
    <cfRule type="expression" dxfId="3068" priority="2416">
      <formula>I82&lt;50</formula>
    </cfRule>
    <cfRule type="expression" dxfId="3067" priority="2417">
      <formula>I82&gt;70</formula>
    </cfRule>
  </conditionalFormatting>
  <conditionalFormatting sqref="I78 I80 P78 P80 W78 W80 AD78 AD80 AK78 AK80 AR78 AR80 I30:I31 L30:L31 P30:P31 S30:S31 W30:W31 Z30:Z31 AD30:AD31 AG30:AG31 AK30:AK31 AN30:AN31 AR30:AR31 AU30:AU31 I65:I66 L65:L66 P65:P66 S65:S66 W65:W66 Z65:Z66 AD65:AD66 AG65:AG66 AK65:AK66 AN65:AN66 AR65:AR66 AU65:AU66">
    <cfRule type="cellIs" dxfId="3066" priority="2370" operator="between">
      <formula>40</formula>
      <formula>44.99</formula>
    </cfRule>
    <cfRule type="cellIs" dxfId="3065" priority="2371" operator="between">
      <formula>55.1</formula>
      <formula>60</formula>
    </cfRule>
    <cfRule type="expression" dxfId="3064" priority="2372">
      <formula>I30&lt;40</formula>
    </cfRule>
    <cfRule type="expression" dxfId="3063" priority="2373">
      <formula>I30&gt;60</formula>
    </cfRule>
  </conditionalFormatting>
  <conditionalFormatting sqref="I53 P53 W53 AD53 AK53 AR53">
    <cfRule type="cellIs" dxfId="3062" priority="2209" operator="between">
      <formula>8.01</formula>
      <formula>10</formula>
    </cfRule>
    <cfRule type="expression" dxfId="3061" priority="2210">
      <formula>I53&lt;6</formula>
    </cfRule>
    <cfRule type="expression" dxfId="3060" priority="2211">
      <formula>I53&gt;10</formula>
    </cfRule>
  </conditionalFormatting>
  <conditionalFormatting sqref="I18 P18 W18 AR18 AK18 AD18">
    <cfRule type="cellIs" dxfId="3059" priority="1655" operator="between">
      <formula>16.1</formula>
      <formula>18</formula>
    </cfRule>
    <cfRule type="expression" dxfId="3058" priority="1656">
      <formula>I18&lt;12</formula>
    </cfRule>
    <cfRule type="expression" dxfId="3057" priority="1657">
      <formula>I18&gt;18</formula>
    </cfRule>
  </conditionalFormatting>
  <conditionalFormatting sqref="I105:I108 L105:M108 P105:P108 S105:T108 W105:W108 Z105:AA108 AD105:AD108 AG105:AH108 AK105:AK108 AN105:AO108 AR105:AR108 AU105:AV108 I28:I29 L28:M29 P28:P29 S28:T29 W28:W29 Z28:AA29 AD28:AD29 AG28:AH29 AK28:AK29 AN28:AO29 AR28:AR29 AU28:AV29 I63:I64 L63:M64 P63:P64 S63:T64 W63:W64 Z63:AA64 AD63:AD64 AG63:AH64 AK63:AK64 AN63:AO64 AR63:AR64 AU63:AV64">
    <cfRule type="cellIs" dxfId="3056" priority="1520" operator="between">
      <formula>50</formula>
      <formula>54.9</formula>
    </cfRule>
    <cfRule type="cellIs" dxfId="3055" priority="1521" operator="between">
      <formula>65.1</formula>
      <formula>70</formula>
    </cfRule>
    <cfRule type="expression" dxfId="3054" priority="1522">
      <formula>I28&lt;50</formula>
    </cfRule>
    <cfRule type="expression" dxfId="3053" priority="1523">
      <formula>I28&gt;70</formula>
    </cfRule>
  </conditionalFormatting>
  <conditionalFormatting sqref="AR58 AK58 AD58 W58 P58 I58">
    <cfRule type="cellIs" dxfId="3052" priority="1502" operator="between">
      <formula>0.5%</formula>
      <formula>0.599%</formula>
    </cfRule>
    <cfRule type="cellIs" dxfId="3051" priority="1503" operator="between">
      <formula>1.41%</formula>
      <formula>1.5%</formula>
    </cfRule>
    <cfRule type="expression" dxfId="3050" priority="1504">
      <formula>I58&lt;0.5%</formula>
    </cfRule>
    <cfRule type="expression" dxfId="3049" priority="1505">
      <formula>I58&gt;1.5%</formula>
    </cfRule>
  </conditionalFormatting>
  <conditionalFormatting sqref="I110 L110 P110 S110 W110 Z110 AD110 AG110 AK110 AN110 AR110 AU110 I33 L33 P33 S33 W33 Z33 AD33 AG33 AK33 AN33 AR33 AU33">
    <cfRule type="cellIs" dxfId="3048" priority="1415" operator="between">
      <formula>30</formula>
      <formula>30.9</formula>
    </cfRule>
    <cfRule type="cellIs" dxfId="3047" priority="1416" operator="between">
      <formula>37.1</formula>
      <formula>40</formula>
    </cfRule>
    <cfRule type="expression" dxfId="3046" priority="1417">
      <formula>I33&lt;30</formula>
    </cfRule>
    <cfRule type="expression" dxfId="3045" priority="1418">
      <formula>I33&gt;40</formula>
    </cfRule>
  </conditionalFormatting>
  <conditionalFormatting sqref="L112 S112 Z112 AG112 AN112 AU112 L35 S35 Z35 AG35 AN35 AU35 L70 S70 Z70 AG70 AN70 AU70">
    <cfRule type="cellIs" dxfId="3044" priority="1367" operator="between">
      <formula>80</formula>
      <formula>84.9</formula>
    </cfRule>
    <cfRule type="cellIs" dxfId="3043" priority="1368" operator="between">
      <formula>95.1</formula>
      <formula>100</formula>
    </cfRule>
    <cfRule type="expression" dxfId="3042" priority="1369">
      <formula>L35&lt;80</formula>
    </cfRule>
    <cfRule type="expression" dxfId="3041" priority="1370">
      <formula>L35&gt;100</formula>
    </cfRule>
  </conditionalFormatting>
  <conditionalFormatting sqref="I114 L114 P114 S114 W114 Z114 AD114 AG114 AK114 AN114 AR114 AU114 I47 P47 W47 AD47 AK47 AR47 I49 P49 W49 AD49 AK49 AR49 I34 L34 P34 S34 W34 Z34 AD34 AG34 AK34 AN34 AR34 AU34 I69 L69 P69 S69 W69 Z69 AD69 AG69 AK69 AN69 AR69 AU69">
    <cfRule type="expression" dxfId="3040" priority="1321">
      <formula>I34&lt;50</formula>
    </cfRule>
    <cfRule type="expression" dxfId="3039" priority="1322">
      <formula>I34&gt;70</formula>
    </cfRule>
  </conditionalFormatting>
  <conditionalFormatting sqref="I111 L111 O111:P111 S111 V111:W111 Z111 AC111:AD111 AG111 AJ111:AK111 AN111 AQ111:AR111 AU111">
    <cfRule type="expression" dxfId="3038" priority="5529">
      <formula>I111&lt;55</formula>
    </cfRule>
    <cfRule type="expression" dxfId="3037" priority="5530">
      <formula>I111&gt;65</formula>
    </cfRule>
  </conditionalFormatting>
  <conditionalFormatting sqref="I113 L113 P113 S113 W113 Z113 AD113 AG113 AK113 AN113 AR113 AU113">
    <cfRule type="expression" dxfId="3036" priority="2182">
      <formula>I113&lt;40</formula>
    </cfRule>
    <cfRule type="expression" dxfId="3035" priority="2183">
      <formula>I113&gt;60</formula>
    </cfRule>
  </conditionalFormatting>
  <conditionalFormatting sqref="I24 P24 W24 AD24 AK24 AR24">
    <cfRule type="cellIs" dxfId="3034" priority="1012" operator="between">
      <formula>5</formula>
      <formula>6.49</formula>
    </cfRule>
    <cfRule type="cellIs" dxfId="3033" priority="1013" operator="between">
      <formula>8.51</formula>
      <formula>10</formula>
    </cfRule>
    <cfRule type="expression" dxfId="3032" priority="1014">
      <formula>I24&lt;5</formula>
    </cfRule>
    <cfRule type="expression" dxfId="3031" priority="1015">
      <formula>I24&gt;10</formula>
    </cfRule>
  </conditionalFormatting>
  <conditionalFormatting sqref="I87 P87 W87 AD87 AK87 AR87">
    <cfRule type="cellIs" dxfId="3030" priority="767" operator="between">
      <formula>7</formula>
      <formula>7.499</formula>
    </cfRule>
    <cfRule type="cellIs" dxfId="3029" priority="768" operator="between">
      <formula>9.51</formula>
      <formula>10</formula>
    </cfRule>
    <cfRule type="expression" dxfId="3028" priority="769">
      <formula>I87&lt;7</formula>
    </cfRule>
    <cfRule type="expression" dxfId="3027" priority="770">
      <formula>I87&gt;10</formula>
    </cfRule>
  </conditionalFormatting>
  <conditionalFormatting sqref="P95 W95 AD95 AK95 AR95 I59 AD59 AK59 AR59 I95 P59:P60 W59:W60">
    <cfRule type="cellIs" dxfId="3026" priority="719" operator="between">
      <formula>5</formula>
      <formula>5.499</formula>
    </cfRule>
    <cfRule type="cellIs" dxfId="3025" priority="720" operator="between">
      <formula>6.51</formula>
      <formula>8</formula>
    </cfRule>
    <cfRule type="expression" dxfId="3024" priority="721">
      <formula>I59&lt;5</formula>
    </cfRule>
    <cfRule type="expression" dxfId="3023" priority="722">
      <formula>I59&gt;8</formula>
    </cfRule>
  </conditionalFormatting>
  <conditionalFormatting sqref="I96 P96 W96 AD96 AK96:AL96 AR96 I60 P60 AD60 AK60 AR60 W60">
    <cfRule type="cellIs" dxfId="3022" priority="457" operator="between">
      <formula>1.8</formula>
      <formula>1.999</formula>
    </cfRule>
    <cfRule type="cellIs" dxfId="3021" priority="458" operator="between">
      <formula>2.21</formula>
      <formula>2.4</formula>
    </cfRule>
    <cfRule type="expression" dxfId="3020" priority="459">
      <formula>I60&lt;1.8</formula>
    </cfRule>
    <cfRule type="expression" dxfId="3019" priority="460">
      <formula>I60&gt;2.4</formula>
    </cfRule>
  </conditionalFormatting>
  <conditionalFormatting sqref="P89 W89 AD89 AK89 AR89 I89">
    <cfRule type="cellIs" dxfId="3018" priority="407" operator="between">
      <formula>2</formula>
      <formula>2.099</formula>
    </cfRule>
    <cfRule type="cellIs" dxfId="3017" priority="408" operator="between">
      <formula>2.31</formula>
      <formula>2.4</formula>
    </cfRule>
    <cfRule type="expression" dxfId="3016" priority="409">
      <formula>I89&lt;2</formula>
    </cfRule>
    <cfRule type="expression" dxfId="3015" priority="410">
      <formula>I89&gt;2.4</formula>
    </cfRule>
  </conditionalFormatting>
  <conditionalFormatting sqref="I90 AR90 AK90 AD90 W90 P90 I92:I93 AR92:AR93 AK92:AK93 AD92:AD93 W92:W93 P92:P93 I55 P55 W55 AD55 AK55 AR55 I20 P20 W20 AD20 AK20 AR20">
    <cfRule type="expression" dxfId="3014" priority="193">
      <formula>I20&lt;40%</formula>
    </cfRule>
    <cfRule type="expression" dxfId="3013" priority="194">
      <formula>I20&gt;50%</formula>
    </cfRule>
  </conditionalFormatting>
  <conditionalFormatting sqref="I91 P91 W91 AD91 AK91 AR91">
    <cfRule type="cellIs" dxfId="3012" priority="161" operator="between">
      <formula>15%</formula>
      <formula>15.99%</formula>
    </cfRule>
    <cfRule type="cellIs" dxfId="3011" priority="162" operator="between">
      <formula>20.01%</formula>
      <formula>25%</formula>
    </cfRule>
    <cfRule type="expression" dxfId="3010" priority="163">
      <formula>I91&lt;15%</formula>
    </cfRule>
    <cfRule type="expression" dxfId="3009" priority="164">
      <formula>I91&gt;25%</formula>
    </cfRule>
  </conditionalFormatting>
  <conditionalFormatting sqref="I19">
    <cfRule type="cellIs" dxfId="3008" priority="109" operator="between">
      <formula>1.5</formula>
      <formula>1.599</formula>
    </cfRule>
    <cfRule type="cellIs" dxfId="3007" priority="110" operator="between">
      <formula>1.811</formula>
      <formula>1.9</formula>
    </cfRule>
    <cfRule type="expression" dxfId="3006" priority="111">
      <formula>I19&lt;1.5</formula>
    </cfRule>
    <cfRule type="expression" dxfId="3005" priority="112">
      <formula>I19&gt;1.9</formula>
    </cfRule>
  </conditionalFormatting>
  <conditionalFormatting sqref="P19">
    <cfRule type="cellIs" dxfId="3004" priority="105" operator="between">
      <formula>1.5</formula>
      <formula>1.599</formula>
    </cfRule>
    <cfRule type="cellIs" dxfId="3003" priority="106" operator="between">
      <formula>1.811</formula>
      <formula>1.9</formula>
    </cfRule>
    <cfRule type="expression" dxfId="3002" priority="107">
      <formula>P19&lt;1.5</formula>
    </cfRule>
    <cfRule type="expression" dxfId="3001" priority="108">
      <formula>P19&gt;1.9</formula>
    </cfRule>
  </conditionalFormatting>
  <conditionalFormatting sqref="W19">
    <cfRule type="cellIs" dxfId="3000" priority="101" operator="between">
      <formula>1.5</formula>
      <formula>1.599</formula>
    </cfRule>
    <cfRule type="cellIs" dxfId="2999" priority="102" operator="between">
      <formula>1.811</formula>
      <formula>1.9</formula>
    </cfRule>
    <cfRule type="expression" dxfId="2998" priority="103">
      <formula>W19&lt;1.5</formula>
    </cfRule>
    <cfRule type="expression" dxfId="2997" priority="104">
      <formula>W19&gt;1.9</formula>
    </cfRule>
  </conditionalFormatting>
  <conditionalFormatting sqref="AD19">
    <cfRule type="cellIs" dxfId="2996" priority="97" operator="between">
      <formula>1.5</formula>
      <formula>1.599</formula>
    </cfRule>
    <cfRule type="cellIs" dxfId="2995" priority="98" operator="between">
      <formula>1.811</formula>
      <formula>1.9</formula>
    </cfRule>
    <cfRule type="expression" dxfId="2994" priority="99">
      <formula>AD19&lt;1.5</formula>
    </cfRule>
    <cfRule type="expression" dxfId="2993" priority="100">
      <formula>AD19&gt;1.9</formula>
    </cfRule>
  </conditionalFormatting>
  <conditionalFormatting sqref="AK19">
    <cfRule type="cellIs" dxfId="2992" priority="93" operator="between">
      <formula>1.5</formula>
      <formula>1.599</formula>
    </cfRule>
    <cfRule type="cellIs" dxfId="2991" priority="94" operator="between">
      <formula>1.811</formula>
      <formula>1.9</formula>
    </cfRule>
    <cfRule type="expression" dxfId="2990" priority="95">
      <formula>AK19&lt;1.5</formula>
    </cfRule>
    <cfRule type="expression" dxfId="2989" priority="96">
      <formula>AK19&gt;1.9</formula>
    </cfRule>
  </conditionalFormatting>
  <conditionalFormatting sqref="AR19">
    <cfRule type="cellIs" dxfId="2988" priority="89" operator="between">
      <formula>1.5</formula>
      <formula>1.599</formula>
    </cfRule>
    <cfRule type="cellIs" dxfId="2987" priority="90" operator="between">
      <formula>1.811</formula>
      <formula>1.9</formula>
    </cfRule>
    <cfRule type="expression" dxfId="2986" priority="91">
      <formula>AR19&lt;1.5</formula>
    </cfRule>
    <cfRule type="expression" dxfId="2985" priority="92">
      <formula>AR19&gt;1.9</formula>
    </cfRule>
  </conditionalFormatting>
  <conditionalFormatting sqref="I25">
    <cfRule type="cellIs" dxfId="2984" priority="85" operator="between">
      <formula>2</formula>
      <formula>2.099</formula>
    </cfRule>
    <cfRule type="cellIs" dxfId="2983" priority="86" operator="between">
      <formula>2.31</formula>
      <formula>2.4</formula>
    </cfRule>
    <cfRule type="expression" dxfId="2982" priority="87">
      <formula>I25&lt;2</formula>
    </cfRule>
    <cfRule type="expression" dxfId="2981" priority="88">
      <formula>I25&gt;2.4</formula>
    </cfRule>
  </conditionalFormatting>
  <conditionalFormatting sqref="P25">
    <cfRule type="cellIs" dxfId="2980" priority="81" operator="between">
      <formula>2</formula>
      <formula>2.099</formula>
    </cfRule>
    <cfRule type="cellIs" dxfId="2979" priority="82" operator="between">
      <formula>2.31</formula>
      <formula>2.4</formula>
    </cfRule>
    <cfRule type="expression" dxfId="2978" priority="83">
      <formula>P25&lt;2</formula>
    </cfRule>
    <cfRule type="expression" dxfId="2977" priority="84">
      <formula>P25&gt;2.4</formula>
    </cfRule>
  </conditionalFormatting>
  <conditionalFormatting sqref="W25">
    <cfRule type="cellIs" dxfId="2976" priority="77" operator="between">
      <formula>2</formula>
      <formula>2.099</formula>
    </cfRule>
    <cfRule type="cellIs" dxfId="2975" priority="78" operator="between">
      <formula>2.31</formula>
      <formula>2.4</formula>
    </cfRule>
    <cfRule type="expression" dxfId="2974" priority="79">
      <formula>W25&lt;2</formula>
    </cfRule>
    <cfRule type="expression" dxfId="2973" priority="80">
      <formula>W25&gt;2.4</formula>
    </cfRule>
  </conditionalFormatting>
  <conditionalFormatting sqref="AD25">
    <cfRule type="cellIs" dxfId="2972" priority="73" operator="between">
      <formula>2</formula>
      <formula>2.099</formula>
    </cfRule>
    <cfRule type="cellIs" dxfId="2971" priority="74" operator="between">
      <formula>2.31</formula>
      <formula>2.4</formula>
    </cfRule>
    <cfRule type="expression" dxfId="2970" priority="75">
      <formula>AD25&lt;2</formula>
    </cfRule>
    <cfRule type="expression" dxfId="2969" priority="76">
      <formula>AD25&gt;2.4</formula>
    </cfRule>
  </conditionalFormatting>
  <conditionalFormatting sqref="AK25">
    <cfRule type="cellIs" dxfId="2968" priority="69" operator="between">
      <formula>2</formula>
      <formula>2.099</formula>
    </cfRule>
    <cfRule type="cellIs" dxfId="2967" priority="70" operator="between">
      <formula>2.31</formula>
      <formula>2.4</formula>
    </cfRule>
    <cfRule type="expression" dxfId="2966" priority="71">
      <formula>AK25&lt;2</formula>
    </cfRule>
    <cfRule type="expression" dxfId="2965" priority="72">
      <formula>AK25&gt;2.4</formula>
    </cfRule>
  </conditionalFormatting>
  <conditionalFormatting sqref="AR25">
    <cfRule type="cellIs" dxfId="2964" priority="65" operator="between">
      <formula>2</formula>
      <formula>2.099</formula>
    </cfRule>
    <cfRule type="cellIs" dxfId="2963" priority="66" operator="between">
      <formula>2.31</formula>
      <formula>2.4</formula>
    </cfRule>
    <cfRule type="expression" dxfId="2962" priority="67">
      <formula>AR25&lt;2</formula>
    </cfRule>
    <cfRule type="expression" dxfId="2961" priority="68">
      <formula>AR25&gt;2.4</formula>
    </cfRule>
  </conditionalFormatting>
  <conditionalFormatting sqref="I94">
    <cfRule type="cellIs" dxfId="2960" priority="61" operator="between">
      <formula>0.5%</formula>
      <formula>0.599%</formula>
    </cfRule>
    <cfRule type="cellIs" dxfId="2959" priority="62" operator="between">
      <formula>0.81%</formula>
      <formula>1%</formula>
    </cfRule>
    <cfRule type="expression" dxfId="2958" priority="63">
      <formula>I94&lt;0.5%</formula>
    </cfRule>
    <cfRule type="expression" dxfId="2957" priority="64">
      <formula>I94&gt;1%</formula>
    </cfRule>
  </conditionalFormatting>
  <conditionalFormatting sqref="P94">
    <cfRule type="cellIs" dxfId="2956" priority="57" operator="between">
      <formula>0.5%</formula>
      <formula>0.599%</formula>
    </cfRule>
    <cfRule type="cellIs" dxfId="2955" priority="58" operator="between">
      <formula>0.81%</formula>
      <formula>1%</formula>
    </cfRule>
    <cfRule type="expression" dxfId="2954" priority="59">
      <formula>P94&lt;0.5%</formula>
    </cfRule>
    <cfRule type="expression" dxfId="2953" priority="60">
      <formula>P94&gt;1%</formula>
    </cfRule>
  </conditionalFormatting>
  <conditionalFormatting sqref="W94">
    <cfRule type="cellIs" dxfId="2952" priority="53" operator="between">
      <formula>0.5%</formula>
      <formula>0.599%</formula>
    </cfRule>
    <cfRule type="cellIs" dxfId="2951" priority="54" operator="between">
      <formula>0.81%</formula>
      <formula>1%</formula>
    </cfRule>
    <cfRule type="expression" dxfId="2950" priority="55">
      <formula>W94&lt;0.5%</formula>
    </cfRule>
    <cfRule type="expression" dxfId="2949" priority="56">
      <formula>W94&gt;1%</formula>
    </cfRule>
  </conditionalFormatting>
  <conditionalFormatting sqref="AD94">
    <cfRule type="cellIs" dxfId="2948" priority="49" operator="between">
      <formula>0.5%</formula>
      <formula>0.599%</formula>
    </cfRule>
    <cfRule type="cellIs" dxfId="2947" priority="50" operator="between">
      <formula>0.81%</formula>
      <formula>1%</formula>
    </cfRule>
    <cfRule type="expression" dxfId="2946" priority="51">
      <formula>AD94&lt;0.5%</formula>
    </cfRule>
    <cfRule type="expression" dxfId="2945" priority="52">
      <formula>AD94&gt;1%</formula>
    </cfRule>
  </conditionalFormatting>
  <conditionalFormatting sqref="AK94">
    <cfRule type="cellIs" dxfId="2944" priority="45" operator="between">
      <formula>0.5%</formula>
      <formula>0.599%</formula>
    </cfRule>
    <cfRule type="cellIs" dxfId="2943" priority="46" operator="between">
      <formula>0.81%</formula>
      <formula>1%</formula>
    </cfRule>
    <cfRule type="expression" dxfId="2942" priority="47">
      <formula>AK94&lt;0.5%</formula>
    </cfRule>
    <cfRule type="expression" dxfId="2941" priority="48">
      <formula>AK94&gt;1%</formula>
    </cfRule>
  </conditionalFormatting>
  <conditionalFormatting sqref="AR94">
    <cfRule type="cellIs" dxfId="2940" priority="41" operator="between">
      <formula>0.5%</formula>
      <formula>0.599%</formula>
    </cfRule>
    <cfRule type="cellIs" dxfId="2939" priority="42" operator="between">
      <formula>0.81%</formula>
      <formula>1%</formula>
    </cfRule>
    <cfRule type="expression" dxfId="2938" priority="43">
      <formula>AR94&lt;0.5%</formula>
    </cfRule>
    <cfRule type="expression" dxfId="2937" priority="44">
      <formula>AR94&gt;1%</formula>
    </cfRule>
  </conditionalFormatting>
  <conditionalFormatting sqref="AR23">
    <cfRule type="cellIs" dxfId="2936" priority="37" operator="between">
      <formula>0.5%</formula>
      <formula>0.599%</formula>
    </cfRule>
    <cfRule type="cellIs" dxfId="2935" priority="38" operator="between">
      <formula>0.81%</formula>
      <formula>1%</formula>
    </cfRule>
    <cfRule type="expression" dxfId="2934" priority="39">
      <formula>AR23&lt;0.5%</formula>
    </cfRule>
    <cfRule type="expression" dxfId="2933" priority="40">
      <formula>AR23&gt;1%</formula>
    </cfRule>
  </conditionalFormatting>
  <conditionalFormatting sqref="AK23">
    <cfRule type="cellIs" dxfId="2932" priority="33" operator="between">
      <formula>0.5%</formula>
      <formula>0.599%</formula>
    </cfRule>
    <cfRule type="cellIs" dxfId="2931" priority="34" operator="between">
      <formula>0.81%</formula>
      <formula>1%</formula>
    </cfRule>
    <cfRule type="expression" dxfId="2930" priority="35">
      <formula>AK23&lt;0.5%</formula>
    </cfRule>
    <cfRule type="expression" dxfId="2929" priority="36">
      <formula>AK23&gt;1%</formula>
    </cfRule>
  </conditionalFormatting>
  <conditionalFormatting sqref="AD23">
    <cfRule type="cellIs" dxfId="2928" priority="29" operator="between">
      <formula>0.5%</formula>
      <formula>0.599%</formula>
    </cfRule>
    <cfRule type="cellIs" dxfId="2927" priority="30" operator="between">
      <formula>0.81%</formula>
      <formula>1%</formula>
    </cfRule>
    <cfRule type="expression" dxfId="2926" priority="31">
      <formula>AD23&lt;0.5%</formula>
    </cfRule>
    <cfRule type="expression" dxfId="2925" priority="32">
      <formula>AD23&gt;1%</formula>
    </cfRule>
  </conditionalFormatting>
  <conditionalFormatting sqref="W23">
    <cfRule type="cellIs" dxfId="2924" priority="25" operator="between">
      <formula>0.5%</formula>
      <formula>0.599%</formula>
    </cfRule>
    <cfRule type="cellIs" dxfId="2923" priority="26" operator="between">
      <formula>0.81%</formula>
      <formula>1%</formula>
    </cfRule>
    <cfRule type="expression" dxfId="2922" priority="27">
      <formula>W23&lt;0.5%</formula>
    </cfRule>
    <cfRule type="expression" dxfId="2921" priority="28">
      <formula>W23&gt;1%</formula>
    </cfRule>
  </conditionalFormatting>
  <conditionalFormatting sqref="P23">
    <cfRule type="cellIs" dxfId="2920" priority="21" operator="between">
      <formula>0.5%</formula>
      <formula>0.599%</formula>
    </cfRule>
    <cfRule type="cellIs" dxfId="2919" priority="22" operator="between">
      <formula>0.81%</formula>
      <formula>1%</formula>
    </cfRule>
    <cfRule type="expression" dxfId="2918" priority="23">
      <formula>P23&lt;0.5%</formula>
    </cfRule>
    <cfRule type="expression" dxfId="2917" priority="24">
      <formula>P23&gt;1%</formula>
    </cfRule>
  </conditionalFormatting>
  <conditionalFormatting sqref="I23">
    <cfRule type="cellIs" dxfId="2916" priority="17" operator="between">
      <formula>0.5%</formula>
      <formula>0.599%</formula>
    </cfRule>
    <cfRule type="cellIs" dxfId="2915" priority="18" operator="between">
      <formula>0.81%</formula>
      <formula>1%</formula>
    </cfRule>
    <cfRule type="expression" dxfId="2914" priority="19">
      <formula>I23&lt;0.5%</formula>
    </cfRule>
    <cfRule type="expression" dxfId="2913" priority="20">
      <formula>I23&gt;1%</formula>
    </cfRule>
  </conditionalFormatting>
  <conditionalFormatting sqref="AK25">
    <cfRule type="cellIs" dxfId="2912" priority="13" operator="between">
      <formula>5</formula>
      <formula>6.49</formula>
    </cfRule>
    <cfRule type="cellIs" dxfId="2911" priority="14" operator="between">
      <formula>8.51</formula>
      <formula>10</formula>
    </cfRule>
    <cfRule type="expression" dxfId="2910" priority="15">
      <formula>AK25&lt;5</formula>
    </cfRule>
    <cfRule type="expression" dxfId="2909" priority="16">
      <formula>AK25&gt;10</formula>
    </cfRule>
  </conditionalFormatting>
  <conditionalFormatting sqref="AK60">
    <cfRule type="cellIs" dxfId="2908" priority="9" operator="between">
      <formula>5</formula>
      <formula>5.499</formula>
    </cfRule>
    <cfRule type="cellIs" dxfId="2907" priority="10" operator="between">
      <formula>6.51</formula>
      <formula>8</formula>
    </cfRule>
    <cfRule type="expression" dxfId="2906" priority="11">
      <formula>AK60&lt;5</formula>
    </cfRule>
    <cfRule type="expression" dxfId="2905" priority="12">
      <formula>AK60&gt;8</formula>
    </cfRule>
  </conditionalFormatting>
  <conditionalFormatting sqref="AR25">
    <cfRule type="cellIs" dxfId="2904" priority="5" operator="between">
      <formula>5</formula>
      <formula>6.49</formula>
    </cfRule>
    <cfRule type="cellIs" dxfId="2903" priority="6" operator="between">
      <formula>8.51</formula>
      <formula>10</formula>
    </cfRule>
    <cfRule type="expression" dxfId="2902" priority="7">
      <formula>AR25&lt;5</formula>
    </cfRule>
    <cfRule type="expression" dxfId="2901" priority="8">
      <formula>AR25&gt;10</formula>
    </cfRule>
  </conditionalFormatting>
  <conditionalFormatting sqref="AR60">
    <cfRule type="cellIs" dxfId="2900" priority="1" operator="between">
      <formula>5</formula>
      <formula>5.499</formula>
    </cfRule>
    <cfRule type="cellIs" dxfId="2899" priority="2" operator="between">
      <formula>6.51</formula>
      <formula>8</formula>
    </cfRule>
    <cfRule type="expression" dxfId="2898" priority="3">
      <formula>AR60&lt;5</formula>
    </cfRule>
    <cfRule type="expression" dxfId="2897" priority="4">
      <formula>AR60&gt;8</formula>
    </cfRule>
  </conditionalFormatting>
  <printOptions horizontalCentered="1"/>
  <pageMargins left="0.26" right="0.16" top="0.3" bottom="0.45" header="0.17" footer="0.27559055118110237"/>
  <pageSetup paperSize="9" scale="42" orientation="portrait" verticalDpi="3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sheetPr codeName="Sheet8">
    <tabColor rgb="FFFF0000"/>
  </sheetPr>
  <dimension ref="A1:AM40"/>
  <sheetViews>
    <sheetView topLeftCell="D13" zoomScale="55" zoomScaleNormal="55" zoomScaleSheetLayoutView="70" workbookViewId="0">
      <selection activeCell="AL23" sqref="AL23"/>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3388" t="s">
        <v>564</v>
      </c>
      <c r="B1" s="3388"/>
      <c r="C1" s="3388"/>
      <c r="D1" s="3388"/>
      <c r="E1" s="3388"/>
      <c r="F1" s="3388"/>
      <c r="G1" s="3388"/>
      <c r="H1" s="3388"/>
      <c r="I1" s="3388"/>
      <c r="J1" s="3388"/>
      <c r="K1" s="3388"/>
      <c r="L1" s="3388"/>
      <c r="M1" s="3388"/>
      <c r="N1" s="3388"/>
      <c r="O1" s="3388"/>
      <c r="P1" s="3388"/>
      <c r="Q1" s="3388"/>
      <c r="R1" s="3388"/>
      <c r="S1" s="1011"/>
      <c r="T1" s="1011"/>
      <c r="U1" s="1450" t="s">
        <v>1346</v>
      </c>
      <c r="W1" s="1446"/>
      <c r="X1" s="1446"/>
      <c r="Y1" s="1604"/>
      <c r="Z1" s="1797"/>
      <c r="AA1" s="1604"/>
      <c r="AB1" s="1604"/>
      <c r="AC1" s="1604"/>
      <c r="AD1" s="1604"/>
      <c r="AE1" s="1446"/>
      <c r="AF1" s="1446"/>
      <c r="AG1" s="1446"/>
      <c r="AH1" s="1446"/>
      <c r="AI1" s="1446"/>
      <c r="AJ1" s="1446"/>
      <c r="AK1" s="1446"/>
      <c r="AL1" s="1446"/>
      <c r="AM1" s="1451" t="s">
        <v>1347</v>
      </c>
    </row>
    <row r="2" spans="1:39" ht="47.25" customHeight="1">
      <c r="A2" s="3389" t="s">
        <v>218</v>
      </c>
      <c r="B2" s="3389"/>
      <c r="C2" s="3389"/>
      <c r="D2" s="3389"/>
      <c r="E2" s="3389"/>
      <c r="F2" s="3389"/>
      <c r="G2" s="3389"/>
      <c r="H2" s="3389"/>
      <c r="I2" s="3389"/>
      <c r="J2" s="3389"/>
      <c r="K2" s="3389"/>
      <c r="L2" s="3389"/>
      <c r="M2" s="3389"/>
      <c r="N2" s="3389"/>
      <c r="O2" s="3389"/>
      <c r="P2" s="3389"/>
      <c r="Q2" s="3389"/>
      <c r="R2" s="3390"/>
      <c r="S2" s="3130" t="s">
        <v>87</v>
      </c>
      <c r="T2" s="3131"/>
      <c r="U2" s="1443" t="s">
        <v>1341</v>
      </c>
      <c r="W2" s="1445"/>
      <c r="X2" s="1445"/>
      <c r="Y2" s="1445"/>
      <c r="Z2" s="1445"/>
      <c r="AA2" s="1445"/>
      <c r="AB2" s="1504"/>
      <c r="AC2" s="1504"/>
      <c r="AD2" s="1504"/>
      <c r="AE2" s="1504"/>
      <c r="AF2" s="1445"/>
      <c r="AG2" s="1445"/>
      <c r="AH2" s="1445"/>
      <c r="AI2" s="1445"/>
      <c r="AJ2" s="1445"/>
      <c r="AK2" s="1445"/>
      <c r="AL2" s="1445"/>
      <c r="AM2" s="1445"/>
    </row>
    <row r="3" spans="1:39" ht="32.25" customHeight="1">
      <c r="B3" s="1420" t="s">
        <v>214</v>
      </c>
      <c r="C3" s="1421"/>
      <c r="D3" s="2681" t="s">
        <v>1594</v>
      </c>
      <c r="E3" s="3401" t="str">
        <f>MENU!$AC$9</f>
        <v>Thứ 5,</v>
      </c>
      <c r="F3" s="3401"/>
      <c r="G3" s="3400" t="str">
        <f>MENU!$AD$9</f>
        <v>2024/08/01</v>
      </c>
      <c r="H3" s="3400"/>
      <c r="I3" s="3391"/>
      <c r="J3" s="3392"/>
      <c r="K3" s="3392"/>
      <c r="L3" s="3392"/>
      <c r="M3" s="1017"/>
      <c r="N3" s="1017"/>
      <c r="O3" s="1017"/>
      <c r="P3" s="1017"/>
      <c r="Q3" s="1017"/>
      <c r="R3" s="1017"/>
      <c r="S3" s="3393" t="str">
        <f>'1. XL-1E kh'!AD3:AD3</f>
        <v>L.Yen</v>
      </c>
      <c r="T3" s="3394"/>
      <c r="U3" s="1019"/>
      <c r="X3" s="1420" t="s">
        <v>214</v>
      </c>
      <c r="Y3" s="1421"/>
      <c r="AA3" s="1812" t="str">
        <f>MENU!$AC$9</f>
        <v>Thứ 5,</v>
      </c>
      <c r="AB3" s="3400" t="str">
        <f>MENU!$AD$9</f>
        <v>2024/08/01</v>
      </c>
      <c r="AC3" s="3400"/>
      <c r="AD3" s="1448"/>
      <c r="AE3" s="1448"/>
      <c r="AF3" s="1448"/>
      <c r="AG3" s="1448"/>
      <c r="AH3" s="1448"/>
      <c r="AI3" s="1448"/>
      <c r="AJ3" s="1448"/>
      <c r="AK3" s="1448"/>
      <c r="AL3" s="1448"/>
      <c r="AM3" s="1393"/>
    </row>
    <row r="4" spans="1:39" s="16" customFormat="1" ht="35.25" customHeight="1">
      <c r="A4" s="3376" t="s">
        <v>7</v>
      </c>
      <c r="B4" s="3143" t="s">
        <v>75</v>
      </c>
      <c r="C4" s="3144"/>
      <c r="D4" s="3144"/>
      <c r="E4" s="3145"/>
      <c r="F4" s="3395" t="s">
        <v>123</v>
      </c>
      <c r="G4" s="3180" t="s">
        <v>1296</v>
      </c>
      <c r="H4" s="3185" t="s">
        <v>1289</v>
      </c>
      <c r="I4" s="3201">
        <v>0.30208333333333331</v>
      </c>
      <c r="J4" s="3199"/>
      <c r="K4" s="3199"/>
      <c r="L4" s="3200"/>
      <c r="M4" s="3198">
        <v>0.46875</v>
      </c>
      <c r="N4" s="3199"/>
      <c r="O4" s="3199"/>
      <c r="P4" s="3200"/>
      <c r="Q4" s="3198">
        <v>0.63541666666666663</v>
      </c>
      <c r="R4" s="3199"/>
      <c r="S4" s="3199"/>
      <c r="T4" s="3200"/>
      <c r="U4" s="1020" t="s">
        <v>89</v>
      </c>
      <c r="W4" s="3376" t="s">
        <v>7</v>
      </c>
      <c r="X4" s="3143" t="s">
        <v>75</v>
      </c>
      <c r="Y4" s="3144"/>
      <c r="Z4" s="3144"/>
      <c r="AA4" s="3145"/>
      <c r="AB4" s="3198">
        <v>0.30208333333333331</v>
      </c>
      <c r="AC4" s="3201"/>
      <c r="AD4" s="3201"/>
      <c r="AE4" s="3365"/>
      <c r="AF4" s="3198">
        <v>0.46875</v>
      </c>
      <c r="AG4" s="3201"/>
      <c r="AH4" s="3201"/>
      <c r="AI4" s="3365"/>
      <c r="AJ4" s="3198">
        <v>0.63541666666666663</v>
      </c>
      <c r="AK4" s="3201"/>
      <c r="AL4" s="3201"/>
      <c r="AM4" s="3365"/>
    </row>
    <row r="5" spans="1:39" s="16" customFormat="1" ht="34.5" customHeight="1">
      <c r="A5" s="3377"/>
      <c r="B5" s="3146"/>
      <c r="C5" s="3147"/>
      <c r="D5" s="3147"/>
      <c r="E5" s="3148"/>
      <c r="F5" s="3396"/>
      <c r="G5" s="3181"/>
      <c r="H5" s="3186"/>
      <c r="I5" s="2220" t="s">
        <v>128</v>
      </c>
      <c r="J5" s="3397" t="s">
        <v>1</v>
      </c>
      <c r="K5" s="3398"/>
      <c r="L5" s="3399"/>
      <c r="M5" s="52" t="s">
        <v>128</v>
      </c>
      <c r="N5" s="3397" t="s">
        <v>1</v>
      </c>
      <c r="O5" s="3398"/>
      <c r="P5" s="3399"/>
      <c r="Q5" s="52" t="s">
        <v>128</v>
      </c>
      <c r="R5" s="3170" t="s">
        <v>1</v>
      </c>
      <c r="S5" s="3171"/>
      <c r="T5" s="3172"/>
      <c r="U5" s="4" t="s">
        <v>90</v>
      </c>
      <c r="W5" s="3377"/>
      <c r="X5" s="3146"/>
      <c r="Y5" s="3147"/>
      <c r="Z5" s="3147"/>
      <c r="AA5" s="3148"/>
      <c r="AB5" s="3256" t="s">
        <v>1433</v>
      </c>
      <c r="AC5" s="3368"/>
      <c r="AD5" s="3367" t="s">
        <v>1466</v>
      </c>
      <c r="AE5" s="3200"/>
      <c r="AF5" s="3256" t="s">
        <v>1433</v>
      </c>
      <c r="AG5" s="3368"/>
      <c r="AH5" s="3367" t="s">
        <v>1466</v>
      </c>
      <c r="AI5" s="3200"/>
      <c r="AJ5" s="3256" t="s">
        <v>1433</v>
      </c>
      <c r="AK5" s="3368"/>
      <c r="AL5" s="3367" t="s">
        <v>1466</v>
      </c>
      <c r="AM5" s="3200"/>
    </row>
    <row r="6" spans="1:39" ht="33.75" customHeight="1">
      <c r="A6" s="3376">
        <v>1</v>
      </c>
      <c r="B6" s="3143" t="s">
        <v>130</v>
      </c>
      <c r="C6" s="3379"/>
      <c r="D6" s="3384" t="s">
        <v>99</v>
      </c>
      <c r="E6" s="3385"/>
      <c r="F6" s="1035" t="s">
        <v>4</v>
      </c>
      <c r="G6" s="897" t="str">
        <f>'XM.GUI MAIL'!$E$6</f>
        <v>20~40</v>
      </c>
      <c r="H6" s="2221" t="str">
        <f>'XM.GUI MAIL'!$F$6</f>
        <v>(30±5)</v>
      </c>
      <c r="I6" s="2190">
        <f>'XM.GUI MAIL'!I6</f>
        <v>0</v>
      </c>
      <c r="J6" s="1404" t="s">
        <v>8</v>
      </c>
      <c r="K6" s="1405">
        <f>'XM.GUI MAIL'!L6</f>
        <v>0</v>
      </c>
      <c r="L6" s="1406" t="s">
        <v>9</v>
      </c>
      <c r="M6" s="1423">
        <f>'XM.GUI MAIL'!P6</f>
        <v>26.6</v>
      </c>
      <c r="N6" s="1404" t="s">
        <v>8</v>
      </c>
      <c r="O6" s="1405">
        <f>'XM.GUI MAIL'!S6</f>
        <v>9.1561999999999948</v>
      </c>
      <c r="P6" s="1406" t="s">
        <v>9</v>
      </c>
      <c r="Q6" s="1423">
        <f>'XM.GUI MAIL'!W6</f>
        <v>32.799999999999997</v>
      </c>
      <c r="R6" s="1404" t="s">
        <v>8</v>
      </c>
      <c r="S6" s="1405">
        <f>'XM.GUI MAIL'!Z6</f>
        <v>0</v>
      </c>
      <c r="T6" s="18" t="s">
        <v>9</v>
      </c>
      <c r="U6" s="102" t="s">
        <v>39</v>
      </c>
      <c r="W6" s="3376">
        <v>1</v>
      </c>
      <c r="X6" s="3143" t="s">
        <v>130</v>
      </c>
      <c r="Y6" s="3379"/>
      <c r="Z6" s="3384" t="s">
        <v>99</v>
      </c>
      <c r="AA6" s="3385"/>
      <c r="AB6" s="2018"/>
      <c r="AC6" s="1741" t="s">
        <v>9</v>
      </c>
      <c r="AD6" s="1791"/>
      <c r="AE6" s="1792" t="s">
        <v>4</v>
      </c>
      <c r="AF6" s="2018"/>
      <c r="AG6" s="1741" t="s">
        <v>9</v>
      </c>
      <c r="AH6" s="1791"/>
      <c r="AI6" s="1792" t="s">
        <v>4</v>
      </c>
      <c r="AJ6" s="2018"/>
      <c r="AK6" s="1741" t="s">
        <v>9</v>
      </c>
      <c r="AL6" s="1791"/>
      <c r="AM6" s="1792" t="s">
        <v>4</v>
      </c>
    </row>
    <row r="7" spans="1:39" ht="33.75" customHeight="1">
      <c r="A7" s="3378"/>
      <c r="B7" s="3380"/>
      <c r="C7" s="3381"/>
      <c r="D7" s="3256" t="s">
        <v>100</v>
      </c>
      <c r="E7" s="3257"/>
      <c r="F7" s="1035" t="s">
        <v>54</v>
      </c>
      <c r="G7" s="897" t="s">
        <v>101</v>
      </c>
      <c r="H7" s="2221"/>
      <c r="I7" s="2191"/>
      <c r="J7" s="1055" t="s">
        <v>8</v>
      </c>
      <c r="K7" s="57">
        <f>K6/25*840/1000</f>
        <v>0</v>
      </c>
      <c r="L7" s="56" t="s">
        <v>10</v>
      </c>
      <c r="M7" s="1676"/>
      <c r="N7" s="1055" t="s">
        <v>8</v>
      </c>
      <c r="O7" s="57">
        <f>O6/25*840/1000</f>
        <v>0.30764831999999986</v>
      </c>
      <c r="P7" s="56" t="s">
        <v>10</v>
      </c>
      <c r="Q7" s="1676"/>
      <c r="R7" s="1055" t="s">
        <v>8</v>
      </c>
      <c r="S7" s="57">
        <f>S6/25*840/1000</f>
        <v>0</v>
      </c>
      <c r="T7" s="56" t="s">
        <v>10</v>
      </c>
      <c r="U7" s="102"/>
      <c r="W7" s="3378"/>
      <c r="X7" s="3380"/>
      <c r="Y7" s="3381"/>
      <c r="Z7" s="3256" t="s">
        <v>100</v>
      </c>
      <c r="AA7" s="3257"/>
      <c r="AB7" s="2018"/>
      <c r="AC7" s="1741" t="s">
        <v>10</v>
      </c>
      <c r="AD7" s="1791"/>
      <c r="AE7" s="1759"/>
      <c r="AF7" s="2018"/>
      <c r="AG7" s="1741" t="s">
        <v>10</v>
      </c>
      <c r="AH7" s="1791"/>
      <c r="AI7" s="1759"/>
      <c r="AJ7" s="2018"/>
      <c r="AK7" s="1741" t="s">
        <v>10</v>
      </c>
      <c r="AL7" s="1791"/>
      <c r="AM7" s="1759"/>
    </row>
    <row r="8" spans="1:39" ht="33.75" customHeight="1">
      <c r="A8" s="3377"/>
      <c r="B8" s="3382"/>
      <c r="C8" s="3383"/>
      <c r="D8" s="3256" t="s">
        <v>102</v>
      </c>
      <c r="E8" s="3257"/>
      <c r="F8" s="1035" t="s">
        <v>54</v>
      </c>
      <c r="G8" s="897" t="s">
        <v>101</v>
      </c>
      <c r="H8" s="2221"/>
      <c r="I8" s="2191"/>
      <c r="J8" s="1055" t="s">
        <v>8</v>
      </c>
      <c r="K8" s="57">
        <f>K7*10</f>
        <v>0</v>
      </c>
      <c r="L8" s="56" t="s">
        <v>10</v>
      </c>
      <c r="M8" s="1676"/>
      <c r="N8" s="1055" t="s">
        <v>8</v>
      </c>
      <c r="O8" s="57">
        <f>O7*10</f>
        <v>3.0764831999999984</v>
      </c>
      <c r="P8" s="56" t="s">
        <v>10</v>
      </c>
      <c r="Q8" s="1676"/>
      <c r="R8" s="1055" t="s">
        <v>8</v>
      </c>
      <c r="S8" s="57">
        <f>S7*10</f>
        <v>0</v>
      </c>
      <c r="T8" s="56" t="s">
        <v>10</v>
      </c>
      <c r="U8" s="102"/>
      <c r="W8" s="3377"/>
      <c r="X8" s="3382"/>
      <c r="Y8" s="3383"/>
      <c r="Z8" s="3256" t="s">
        <v>102</v>
      </c>
      <c r="AA8" s="3257"/>
      <c r="AB8" s="2018"/>
      <c r="AC8" s="1741" t="s">
        <v>10</v>
      </c>
      <c r="AD8" s="1791"/>
      <c r="AE8" s="1759"/>
      <c r="AF8" s="2018"/>
      <c r="AG8" s="1741" t="s">
        <v>10</v>
      </c>
      <c r="AH8" s="1791"/>
      <c r="AI8" s="1759"/>
      <c r="AJ8" s="2018"/>
      <c r="AK8" s="1741" t="s">
        <v>10</v>
      </c>
      <c r="AL8" s="1791"/>
      <c r="AM8" s="1759"/>
    </row>
    <row r="9" spans="1:39" ht="33.75" customHeight="1">
      <c r="A9" s="3376">
        <v>2</v>
      </c>
      <c r="B9" s="3143" t="s">
        <v>131</v>
      </c>
      <c r="C9" s="3379"/>
      <c r="D9" s="3384" t="s">
        <v>99</v>
      </c>
      <c r="E9" s="3385"/>
      <c r="F9" s="1035" t="s">
        <v>4</v>
      </c>
      <c r="G9" s="897" t="str">
        <f>'XM.GUI MAIL'!$E$9</f>
        <v>20~40</v>
      </c>
      <c r="H9" s="2221" t="str">
        <f>'XM.GUI MAIL'!$F$9</f>
        <v>(30±5)</v>
      </c>
      <c r="I9" s="2190">
        <f>'XM.GUI MAIL'!I9</f>
        <v>0</v>
      </c>
      <c r="J9" s="1404" t="s">
        <v>8</v>
      </c>
      <c r="K9" s="1405">
        <f>'XM.GUI MAIL'!L9</f>
        <v>0</v>
      </c>
      <c r="L9" s="1406" t="s">
        <v>9</v>
      </c>
      <c r="M9" s="1423">
        <f>'XM.GUI MAIL'!P9</f>
        <v>31</v>
      </c>
      <c r="N9" s="1404" t="s">
        <v>8</v>
      </c>
      <c r="O9" s="1405">
        <f>'XM.GUI MAIL'!S9</f>
        <v>0</v>
      </c>
      <c r="P9" s="1406" t="s">
        <v>9</v>
      </c>
      <c r="Q9" s="1423">
        <f>'XM.GUI MAIL'!W9</f>
        <v>30.2</v>
      </c>
      <c r="R9" s="1404" t="s">
        <v>8</v>
      </c>
      <c r="S9" s="1405">
        <f>'XM.GUI MAIL'!Z9</f>
        <v>0</v>
      </c>
      <c r="T9" s="18" t="s">
        <v>9</v>
      </c>
      <c r="U9" s="102" t="s">
        <v>39</v>
      </c>
      <c r="W9" s="3376">
        <v>2</v>
      </c>
      <c r="X9" s="3143" t="s">
        <v>131</v>
      </c>
      <c r="Y9" s="3379"/>
      <c r="Z9" s="3384" t="s">
        <v>99</v>
      </c>
      <c r="AA9" s="3385"/>
      <c r="AB9" s="2018"/>
      <c r="AC9" s="1741" t="s">
        <v>9</v>
      </c>
      <c r="AD9" s="1791"/>
      <c r="AE9" s="1792" t="s">
        <v>4</v>
      </c>
      <c r="AF9" s="2018"/>
      <c r="AG9" s="1741" t="s">
        <v>9</v>
      </c>
      <c r="AH9" s="1791"/>
      <c r="AI9" s="1792" t="s">
        <v>4</v>
      </c>
      <c r="AJ9" s="2018"/>
      <c r="AK9" s="1741" t="s">
        <v>9</v>
      </c>
      <c r="AL9" s="1791"/>
      <c r="AM9" s="1792" t="s">
        <v>4</v>
      </c>
    </row>
    <row r="10" spans="1:39" ht="33.75" customHeight="1">
      <c r="A10" s="3378"/>
      <c r="B10" s="3380"/>
      <c r="C10" s="3381"/>
      <c r="D10" s="3256" t="s">
        <v>100</v>
      </c>
      <c r="E10" s="3257"/>
      <c r="F10" s="1035" t="s">
        <v>54</v>
      </c>
      <c r="G10" s="897" t="s">
        <v>101</v>
      </c>
      <c r="H10" s="2221"/>
      <c r="I10" s="2191"/>
      <c r="J10" s="1055" t="s">
        <v>8</v>
      </c>
      <c r="K10" s="57">
        <f>K9/25*840/1000</f>
        <v>0</v>
      </c>
      <c r="L10" s="56" t="s">
        <v>10</v>
      </c>
      <c r="M10" s="1676"/>
      <c r="N10" s="1055" t="s">
        <v>8</v>
      </c>
      <c r="O10" s="57">
        <f>O9/25*840/1000</f>
        <v>0</v>
      </c>
      <c r="P10" s="56" t="s">
        <v>10</v>
      </c>
      <c r="Q10" s="1676"/>
      <c r="R10" s="1055" t="s">
        <v>8</v>
      </c>
      <c r="S10" s="57">
        <f>S9/25*840/1000</f>
        <v>0</v>
      </c>
      <c r="T10" s="56" t="s">
        <v>10</v>
      </c>
      <c r="U10" s="102"/>
      <c r="W10" s="3378"/>
      <c r="X10" s="3380"/>
      <c r="Y10" s="3381"/>
      <c r="Z10" s="3256" t="s">
        <v>100</v>
      </c>
      <c r="AA10" s="3257"/>
      <c r="AB10" s="2018"/>
      <c r="AC10" s="1741" t="s">
        <v>10</v>
      </c>
      <c r="AD10" s="1791"/>
      <c r="AE10" s="1759"/>
      <c r="AF10" s="2018"/>
      <c r="AG10" s="1741" t="s">
        <v>10</v>
      </c>
      <c r="AH10" s="1791"/>
      <c r="AI10" s="1759"/>
      <c r="AJ10" s="2018"/>
      <c r="AK10" s="1741" t="s">
        <v>10</v>
      </c>
      <c r="AL10" s="1791"/>
      <c r="AM10" s="1759"/>
    </row>
    <row r="11" spans="1:39" ht="33.75" customHeight="1">
      <c r="A11" s="3377"/>
      <c r="B11" s="3382"/>
      <c r="C11" s="3383"/>
      <c r="D11" s="3256" t="s">
        <v>102</v>
      </c>
      <c r="E11" s="3257"/>
      <c r="F11" s="1035" t="s">
        <v>54</v>
      </c>
      <c r="G11" s="897" t="s">
        <v>101</v>
      </c>
      <c r="H11" s="2221"/>
      <c r="I11" s="2191"/>
      <c r="J11" s="1055" t="s">
        <v>8</v>
      </c>
      <c r="K11" s="57">
        <f>K10*10</f>
        <v>0</v>
      </c>
      <c r="L11" s="56" t="s">
        <v>10</v>
      </c>
      <c r="M11" s="1676"/>
      <c r="N11" s="1055" t="s">
        <v>8</v>
      </c>
      <c r="O11" s="57">
        <f>O10*10</f>
        <v>0</v>
      </c>
      <c r="P11" s="56" t="s">
        <v>10</v>
      </c>
      <c r="Q11" s="1676"/>
      <c r="R11" s="1055" t="s">
        <v>8</v>
      </c>
      <c r="S11" s="57">
        <f>S10*10</f>
        <v>0</v>
      </c>
      <c r="T11" s="56" t="s">
        <v>10</v>
      </c>
      <c r="U11" s="102"/>
      <c r="W11" s="3377"/>
      <c r="X11" s="3382"/>
      <c r="Y11" s="3383"/>
      <c r="Z11" s="3256" t="s">
        <v>102</v>
      </c>
      <c r="AA11" s="3257"/>
      <c r="AB11" s="2018"/>
      <c r="AC11" s="1741" t="s">
        <v>10</v>
      </c>
      <c r="AD11" s="1791"/>
      <c r="AE11" s="1759"/>
      <c r="AF11" s="2018"/>
      <c r="AG11" s="1741" t="s">
        <v>10</v>
      </c>
      <c r="AH11" s="1791"/>
      <c r="AI11" s="1759"/>
      <c r="AJ11" s="2018"/>
      <c r="AK11" s="1741" t="s">
        <v>10</v>
      </c>
      <c r="AL11" s="1791"/>
      <c r="AM11" s="1759"/>
    </row>
    <row r="12" spans="1:39" ht="33.75" customHeight="1">
      <c r="A12" s="3376">
        <v>3</v>
      </c>
      <c r="B12" s="3386" t="s">
        <v>132</v>
      </c>
      <c r="C12" s="3387"/>
      <c r="D12" s="3384" t="s">
        <v>99</v>
      </c>
      <c r="E12" s="3385"/>
      <c r="F12" s="1035" t="s">
        <v>4</v>
      </c>
      <c r="G12" s="897" t="str">
        <f>'XM.GUI MAIL'!$E$12</f>
        <v>60~80</v>
      </c>
      <c r="H12" s="2221" t="str">
        <f>'XM.GUI MAIL'!$F$12</f>
        <v>(70±10)</v>
      </c>
      <c r="I12" s="2192">
        <f>'XM.GUI MAIL'!I12</f>
        <v>0</v>
      </c>
      <c r="J12" s="1404" t="s">
        <v>8</v>
      </c>
      <c r="K12" s="1405">
        <f>'XM.GUI MAIL'!L12</f>
        <v>0</v>
      </c>
      <c r="L12" s="1406" t="s">
        <v>9</v>
      </c>
      <c r="M12" s="1401">
        <f>'XM.GUI MAIL'!P12</f>
        <v>77</v>
      </c>
      <c r="N12" s="1404" t="s">
        <v>8</v>
      </c>
      <c r="O12" s="1405">
        <f>'XM.GUI MAIL'!S12</f>
        <v>0</v>
      </c>
      <c r="P12" s="1406" t="s">
        <v>9</v>
      </c>
      <c r="Q12" s="1401">
        <f>'XM.GUI MAIL'!W12</f>
        <v>78</v>
      </c>
      <c r="R12" s="1404" t="s">
        <v>8</v>
      </c>
      <c r="S12" s="1405">
        <f>'XM.GUI MAIL'!Z12</f>
        <v>0</v>
      </c>
      <c r="T12" s="18" t="s">
        <v>9</v>
      </c>
      <c r="U12" s="102" t="s">
        <v>39</v>
      </c>
      <c r="W12" s="3376">
        <v>3</v>
      </c>
      <c r="X12" s="3386" t="s">
        <v>132</v>
      </c>
      <c r="Y12" s="3387"/>
      <c r="Z12" s="3384" t="s">
        <v>99</v>
      </c>
      <c r="AA12" s="3385"/>
      <c r="AB12" s="2018"/>
      <c r="AC12" s="1741" t="s">
        <v>9</v>
      </c>
      <c r="AD12" s="1791"/>
      <c r="AE12" s="1792" t="s">
        <v>4</v>
      </c>
      <c r="AF12" s="2018"/>
      <c r="AG12" s="1741" t="s">
        <v>9</v>
      </c>
      <c r="AH12" s="1791"/>
      <c r="AI12" s="1792" t="s">
        <v>4</v>
      </c>
      <c r="AJ12" s="2018"/>
      <c r="AK12" s="1741" t="s">
        <v>9</v>
      </c>
      <c r="AL12" s="1791"/>
      <c r="AM12" s="1792" t="s">
        <v>4</v>
      </c>
    </row>
    <row r="13" spans="1:39" ht="33.75" customHeight="1">
      <c r="A13" s="3377"/>
      <c r="B13" s="3387"/>
      <c r="C13" s="3387"/>
      <c r="D13" s="3256" t="s">
        <v>103</v>
      </c>
      <c r="E13" s="3257"/>
      <c r="F13" s="1035" t="s">
        <v>54</v>
      </c>
      <c r="G13" s="897" t="s">
        <v>101</v>
      </c>
      <c r="H13" s="2221"/>
      <c r="I13" s="2193"/>
      <c r="J13" s="1055" t="s">
        <v>8</v>
      </c>
      <c r="K13" s="57">
        <f>K12/25*7.5</f>
        <v>0</v>
      </c>
      <c r="L13" s="56" t="s">
        <v>10</v>
      </c>
      <c r="M13" s="1673"/>
      <c r="N13" s="1055" t="s">
        <v>8</v>
      </c>
      <c r="O13" s="57">
        <f>O12/25*7.5</f>
        <v>0</v>
      </c>
      <c r="P13" s="56" t="s">
        <v>10</v>
      </c>
      <c r="Q13" s="1673"/>
      <c r="R13" s="1055" t="s">
        <v>8</v>
      </c>
      <c r="S13" s="57">
        <f>S12/25*7.5</f>
        <v>0</v>
      </c>
      <c r="T13" s="56" t="s">
        <v>10</v>
      </c>
      <c r="U13" s="102"/>
      <c r="W13" s="3377"/>
      <c r="X13" s="3387"/>
      <c r="Y13" s="3387"/>
      <c r="Z13" s="3256" t="s">
        <v>103</v>
      </c>
      <c r="AA13" s="3257"/>
      <c r="AB13" s="2018"/>
      <c r="AC13" s="1741" t="s">
        <v>10</v>
      </c>
      <c r="AD13" s="1791"/>
      <c r="AE13" s="1759"/>
      <c r="AF13" s="2018"/>
      <c r="AG13" s="1741" t="s">
        <v>10</v>
      </c>
      <c r="AH13" s="1791"/>
      <c r="AI13" s="1759"/>
      <c r="AJ13" s="2018"/>
      <c r="AK13" s="1741" t="s">
        <v>10</v>
      </c>
      <c r="AL13" s="1791"/>
      <c r="AM13" s="1759"/>
    </row>
    <row r="14" spans="1:39" ht="33.75" customHeight="1">
      <c r="A14" s="3376">
        <v>4</v>
      </c>
      <c r="B14" s="3386" t="s">
        <v>133</v>
      </c>
      <c r="C14" s="3387"/>
      <c r="D14" s="3384" t="s">
        <v>99</v>
      </c>
      <c r="E14" s="3385"/>
      <c r="F14" s="1035" t="s">
        <v>4</v>
      </c>
      <c r="G14" s="897" t="str">
        <f>'XM.GUI MAIL'!$E$14</f>
        <v>60~80</v>
      </c>
      <c r="H14" s="2221" t="str">
        <f>'XM.GUI MAIL'!$F$14</f>
        <v>(70±10)</v>
      </c>
      <c r="I14" s="2192">
        <f>'XM.GUI MAIL'!I14</f>
        <v>0</v>
      </c>
      <c r="J14" s="1404" t="s">
        <v>8</v>
      </c>
      <c r="K14" s="1405">
        <f>'XM.GUI MAIL'!L14</f>
        <v>0</v>
      </c>
      <c r="L14" s="1406" t="s">
        <v>9</v>
      </c>
      <c r="M14" s="1401">
        <f>'XM.GUI MAIL'!P14</f>
        <v>72.599999999999994</v>
      </c>
      <c r="N14" s="1404" t="s">
        <v>8</v>
      </c>
      <c r="O14" s="1405">
        <f>'XM.GUI MAIL'!S14</f>
        <v>0</v>
      </c>
      <c r="P14" s="1406" t="s">
        <v>9</v>
      </c>
      <c r="Q14" s="1401">
        <f>'XM.GUI MAIL'!W14</f>
        <v>72.400000000000006</v>
      </c>
      <c r="R14" s="1404" t="s">
        <v>8</v>
      </c>
      <c r="S14" s="1405">
        <f>'XM.GUI MAIL'!Z14</f>
        <v>0</v>
      </c>
      <c r="T14" s="18" t="s">
        <v>9</v>
      </c>
      <c r="U14" s="102" t="s">
        <v>39</v>
      </c>
      <c r="W14" s="3376">
        <v>4</v>
      </c>
      <c r="X14" s="3386" t="s">
        <v>133</v>
      </c>
      <c r="Y14" s="3387"/>
      <c r="Z14" s="3384" t="s">
        <v>99</v>
      </c>
      <c r="AA14" s="3385"/>
      <c r="AB14" s="2018"/>
      <c r="AC14" s="1741" t="s">
        <v>9</v>
      </c>
      <c r="AD14" s="1791"/>
      <c r="AE14" s="1792" t="s">
        <v>4</v>
      </c>
      <c r="AF14" s="2018"/>
      <c r="AG14" s="1741" t="s">
        <v>9</v>
      </c>
      <c r="AH14" s="1791"/>
      <c r="AI14" s="1792" t="s">
        <v>4</v>
      </c>
      <c r="AJ14" s="2018"/>
      <c r="AK14" s="1741" t="s">
        <v>9</v>
      </c>
      <c r="AL14" s="1791"/>
      <c r="AM14" s="1792" t="s">
        <v>4</v>
      </c>
    </row>
    <row r="15" spans="1:39" ht="33.75" customHeight="1">
      <c r="A15" s="3377"/>
      <c r="B15" s="3387"/>
      <c r="C15" s="3387"/>
      <c r="D15" s="3256" t="s">
        <v>103</v>
      </c>
      <c r="E15" s="3257"/>
      <c r="F15" s="1035" t="s">
        <v>54</v>
      </c>
      <c r="G15" s="897" t="s">
        <v>101</v>
      </c>
      <c r="H15" s="2221"/>
      <c r="I15" s="2191"/>
      <c r="J15" s="1055" t="s">
        <v>8</v>
      </c>
      <c r="K15" s="57">
        <f>K14/25*7.5</f>
        <v>0</v>
      </c>
      <c r="L15" s="56" t="s">
        <v>10</v>
      </c>
      <c r="M15" s="1676"/>
      <c r="N15" s="1055" t="s">
        <v>8</v>
      </c>
      <c r="O15" s="57">
        <f>O14/25*7.5</f>
        <v>0</v>
      </c>
      <c r="P15" s="56" t="s">
        <v>10</v>
      </c>
      <c r="Q15" s="1676"/>
      <c r="R15" s="1055" t="s">
        <v>8</v>
      </c>
      <c r="S15" s="57">
        <f>S14/25*7.5</f>
        <v>0</v>
      </c>
      <c r="T15" s="56" t="s">
        <v>10</v>
      </c>
      <c r="U15" s="102"/>
      <c r="W15" s="3377"/>
      <c r="X15" s="3387"/>
      <c r="Y15" s="3387"/>
      <c r="Z15" s="3256" t="s">
        <v>103</v>
      </c>
      <c r="AA15" s="3257"/>
      <c r="AB15" s="2018"/>
      <c r="AC15" s="1741" t="s">
        <v>10</v>
      </c>
      <c r="AD15" s="1791"/>
      <c r="AE15" s="1759"/>
      <c r="AF15" s="2018"/>
      <c r="AG15" s="1741" t="s">
        <v>10</v>
      </c>
      <c r="AH15" s="1791"/>
      <c r="AI15" s="1759"/>
      <c r="AJ15" s="2018"/>
      <c r="AK15" s="1741" t="s">
        <v>10</v>
      </c>
      <c r="AL15" s="1791"/>
      <c r="AM15" s="1759"/>
    </row>
    <row r="16" spans="1:39" ht="33.75" customHeight="1">
      <c r="A16" s="3376">
        <v>5</v>
      </c>
      <c r="B16" s="3256" t="s">
        <v>78</v>
      </c>
      <c r="C16" s="3369"/>
      <c r="D16" s="3369"/>
      <c r="E16" s="3257"/>
      <c r="F16" s="1035" t="s">
        <v>4</v>
      </c>
      <c r="G16" s="1005" t="str">
        <f>'XM.GUI MAIL'!$E$16</f>
        <v>130 - 150</v>
      </c>
      <c r="H16" s="2203" t="str">
        <f>'XM.GUI MAIL'!$F$16</f>
        <v>(140±7)</v>
      </c>
      <c r="I16" s="2194">
        <f>'XM.GUI MAIL'!I16</f>
        <v>0</v>
      </c>
      <c r="J16" s="1404" t="s">
        <v>8</v>
      </c>
      <c r="K16" s="1500">
        <f>'XM.GUI MAIL'!L16</f>
        <v>0</v>
      </c>
      <c r="L16" s="1057" t="s">
        <v>9</v>
      </c>
      <c r="M16" s="1755">
        <f>'XM.GUI MAIL'!P16</f>
        <v>133.6</v>
      </c>
      <c r="N16" s="1404" t="s">
        <v>8</v>
      </c>
      <c r="O16" s="1500">
        <f>'XM.GUI MAIL'!S16</f>
        <v>127.68640000000011</v>
      </c>
      <c r="P16" s="1057" t="s">
        <v>9</v>
      </c>
      <c r="Q16" s="1755">
        <f>'XM.GUI MAIL'!W16</f>
        <v>140.80000000000001</v>
      </c>
      <c r="R16" s="1404" t="s">
        <v>8</v>
      </c>
      <c r="S16" s="1500">
        <f>'XM.GUI MAIL'!Z16</f>
        <v>0</v>
      </c>
      <c r="T16" s="103" t="s">
        <v>9</v>
      </c>
      <c r="U16" s="102" t="s">
        <v>40</v>
      </c>
      <c r="W16" s="3376">
        <v>5</v>
      </c>
      <c r="X16" s="3256" t="s">
        <v>78</v>
      </c>
      <c r="Y16" s="3369"/>
      <c r="Z16" s="3369"/>
      <c r="AA16" s="3257"/>
      <c r="AB16" s="2018"/>
      <c r="AC16" s="1741" t="s">
        <v>9</v>
      </c>
      <c r="AD16" s="1791"/>
      <c r="AE16" s="1793" t="s">
        <v>4</v>
      </c>
      <c r="AF16" s="2018"/>
      <c r="AG16" s="1741" t="s">
        <v>9</v>
      </c>
      <c r="AH16" s="1791"/>
      <c r="AI16" s="1793" t="s">
        <v>4</v>
      </c>
      <c r="AJ16" s="2018"/>
      <c r="AK16" s="1741" t="s">
        <v>9</v>
      </c>
      <c r="AL16" s="1791"/>
      <c r="AM16" s="1793" t="s">
        <v>4</v>
      </c>
    </row>
    <row r="17" spans="1:39" ht="33.75" customHeight="1">
      <c r="A17" s="3377"/>
      <c r="B17" s="3256" t="s">
        <v>56</v>
      </c>
      <c r="C17" s="3369"/>
      <c r="D17" s="3369"/>
      <c r="E17" s="3257"/>
      <c r="F17" s="1035" t="s">
        <v>4</v>
      </c>
      <c r="G17" s="1005" t="str">
        <f>'XM.GUI MAIL'!$E$17</f>
        <v>8~12</v>
      </c>
      <c r="H17" s="2203" t="str">
        <f>'XM.GUI MAIL'!$F$17</f>
        <v>(10±2)</v>
      </c>
      <c r="I17" s="2195">
        <f>'XM.GUI MAIL'!I17</f>
        <v>0</v>
      </c>
      <c r="J17" s="1404" t="s">
        <v>8</v>
      </c>
      <c r="K17" s="1405">
        <f>'XM.GUI MAIL'!L17</f>
        <v>0</v>
      </c>
      <c r="L17" s="1057" t="s">
        <v>9</v>
      </c>
      <c r="M17" s="1761">
        <f>'XM.GUI MAIL'!P17</f>
        <v>12.740000000000002</v>
      </c>
      <c r="N17" s="1404" t="s">
        <v>8</v>
      </c>
      <c r="O17" s="1405">
        <f>'XM.GUI MAIL'!S17</f>
        <v>0</v>
      </c>
      <c r="P17" s="1057" t="s">
        <v>9</v>
      </c>
      <c r="Q17" s="1761">
        <f>'XM.GUI MAIL'!W17</f>
        <v>12.48</v>
      </c>
      <c r="R17" s="1404" t="s">
        <v>8</v>
      </c>
      <c r="S17" s="1405">
        <f>'XM.GUI MAIL'!Z17</f>
        <v>0</v>
      </c>
      <c r="T17" s="103" t="s">
        <v>9</v>
      </c>
      <c r="U17" s="102" t="s">
        <v>41</v>
      </c>
      <c r="W17" s="3377"/>
      <c r="X17" s="3256" t="s">
        <v>56</v>
      </c>
      <c r="Y17" s="3369"/>
      <c r="Z17" s="3369"/>
      <c r="AA17" s="3257"/>
      <c r="AB17" s="2018"/>
      <c r="AC17" s="1741" t="s">
        <v>9</v>
      </c>
      <c r="AD17" s="1791"/>
      <c r="AE17" s="1793" t="s">
        <v>4</v>
      </c>
      <c r="AF17" s="2018"/>
      <c r="AG17" s="1741" t="s">
        <v>9</v>
      </c>
      <c r="AH17" s="1791"/>
      <c r="AI17" s="1793" t="s">
        <v>4</v>
      </c>
      <c r="AJ17" s="2018"/>
      <c r="AK17" s="1741" t="s">
        <v>9</v>
      </c>
      <c r="AL17" s="1791"/>
      <c r="AM17" s="1793" t="s">
        <v>4</v>
      </c>
    </row>
    <row r="18" spans="1:39" ht="33.75" customHeight="1">
      <c r="A18" s="3376">
        <v>6</v>
      </c>
      <c r="B18" s="3143" t="s">
        <v>973</v>
      </c>
      <c r="C18" s="3144"/>
      <c r="D18" s="3144"/>
      <c r="E18" s="3145"/>
      <c r="F18" s="1035" t="s">
        <v>3</v>
      </c>
      <c r="G18" s="1005" t="str">
        <f>'XM.GUI MAIL'!$E$18</f>
        <v xml:space="preserve">12~18 </v>
      </c>
      <c r="H18" s="2203" t="str">
        <f>'XM.GUI MAIL'!$F$18</f>
        <v>(14±2)</v>
      </c>
      <c r="I18" s="2196">
        <f>'XM.GUI MAIL'!I18</f>
        <v>0</v>
      </c>
      <c r="J18" s="1055" t="s">
        <v>8</v>
      </c>
      <c r="K18" s="55">
        <f>'XM.GUI MAIL'!L18</f>
        <v>0</v>
      </c>
      <c r="L18" s="56" t="s">
        <v>10</v>
      </c>
      <c r="M18" s="1731">
        <f>'XM.GUI MAIL'!P18</f>
        <v>15.827338129496402</v>
      </c>
      <c r="N18" s="1055" t="s">
        <v>8</v>
      </c>
      <c r="O18" s="55">
        <f>'XM.GUI MAIL'!S18</f>
        <v>0</v>
      </c>
      <c r="P18" s="56" t="s">
        <v>10</v>
      </c>
      <c r="Q18" s="1731">
        <f>'XM.GUI MAIL'!W18</f>
        <v>15.827338129496402</v>
      </c>
      <c r="R18" s="1055" t="s">
        <v>8</v>
      </c>
      <c r="S18" s="55">
        <f>'XM.GUI MAIL'!Z18</f>
        <v>0</v>
      </c>
      <c r="T18" s="56" t="s">
        <v>10</v>
      </c>
      <c r="U18" s="102" t="s">
        <v>42</v>
      </c>
      <c r="W18" s="3376">
        <v>6</v>
      </c>
      <c r="X18" s="3143" t="s">
        <v>973</v>
      </c>
      <c r="Y18" s="3144"/>
      <c r="Z18" s="3144"/>
      <c r="AA18" s="3145"/>
      <c r="AB18" s="2018"/>
      <c r="AC18" s="1741" t="s">
        <v>10</v>
      </c>
      <c r="AD18" s="1791"/>
      <c r="AE18" s="1759" t="s">
        <v>3</v>
      </c>
      <c r="AF18" s="2018"/>
      <c r="AG18" s="1741" t="s">
        <v>10</v>
      </c>
      <c r="AH18" s="1791"/>
      <c r="AI18" s="1759" t="s">
        <v>3</v>
      </c>
      <c r="AJ18" s="2018"/>
      <c r="AK18" s="1741" t="s">
        <v>10</v>
      </c>
      <c r="AL18" s="1791"/>
      <c r="AM18" s="1759" t="s">
        <v>3</v>
      </c>
    </row>
    <row r="19" spans="1:39" ht="33.75" customHeight="1">
      <c r="A19" s="3377"/>
      <c r="B19" s="3146"/>
      <c r="C19" s="3147"/>
      <c r="D19" s="3147"/>
      <c r="E19" s="3148"/>
      <c r="F19" s="1035" t="s">
        <v>5</v>
      </c>
      <c r="G19" s="1005" t="str">
        <f>'XM.GUI MAIL'!$E$19</f>
        <v>1.5~1.9</v>
      </c>
      <c r="H19" s="2203" t="str">
        <f>'XM.GUI MAIL'!$F$19</f>
        <v>(1.7±0.1 )</v>
      </c>
      <c r="I19" s="2176">
        <f>'XM.GUI MAIL'!I19</f>
        <v>0</v>
      </c>
      <c r="J19" s="1055"/>
      <c r="K19" s="55">
        <f>'XM.GUI MAIL'!L19</f>
        <v>0</v>
      </c>
      <c r="L19" s="2231"/>
      <c r="M19" s="2176">
        <f>'XM.GUI MAIL'!P19</f>
        <v>1.63</v>
      </c>
      <c r="N19" s="1055"/>
      <c r="O19" s="55">
        <f>'XM.GUI MAIL'!S19</f>
        <v>0</v>
      </c>
      <c r="P19" s="56"/>
      <c r="Q19" s="2176">
        <f>'XM.GUI MAIL'!W19</f>
        <v>1.64</v>
      </c>
      <c r="R19" s="1407"/>
      <c r="S19" s="1405">
        <f>'XM.GUI MAIL'!Z19</f>
        <v>0</v>
      </c>
      <c r="T19" s="6"/>
      <c r="U19" s="102"/>
      <c r="W19" s="3377"/>
      <c r="X19" s="3146"/>
      <c r="Y19" s="3147"/>
      <c r="Z19" s="3147"/>
      <c r="AA19" s="3148"/>
      <c r="AB19" s="2018"/>
      <c r="AC19" s="1741"/>
      <c r="AD19" s="1791"/>
      <c r="AE19" s="1794" t="s">
        <v>5</v>
      </c>
      <c r="AF19" s="2018"/>
      <c r="AG19" s="1741"/>
      <c r="AH19" s="1791"/>
      <c r="AI19" s="1794" t="s">
        <v>5</v>
      </c>
      <c r="AJ19" s="2018"/>
      <c r="AK19" s="1741"/>
      <c r="AL19" s="1791"/>
      <c r="AM19" s="1794" t="s">
        <v>5</v>
      </c>
    </row>
    <row r="20" spans="1:39" ht="33.75" customHeight="1">
      <c r="A20" s="102">
        <v>7</v>
      </c>
      <c r="B20" s="3256" t="s">
        <v>57</v>
      </c>
      <c r="C20" s="3369"/>
      <c r="D20" s="3369"/>
      <c r="E20" s="3257"/>
      <c r="F20" s="1025" t="s">
        <v>6</v>
      </c>
      <c r="G20" s="1005" t="str">
        <f>'XM.GUI MAIL'!$E$20</f>
        <v xml:space="preserve">40~50 </v>
      </c>
      <c r="H20" s="2203" t="str">
        <f>'XM.GUI MAIL'!$F$20</f>
        <v>(45±5)</v>
      </c>
      <c r="I20" s="2197">
        <f>'XM.GUI MAIL'!I20</f>
        <v>0</v>
      </c>
      <c r="J20" s="1404" t="s">
        <v>8</v>
      </c>
      <c r="K20" s="1405">
        <f>'XM.GUI MAIL'!L20</f>
        <v>0</v>
      </c>
      <c r="L20" s="1406" t="s">
        <v>10</v>
      </c>
      <c r="M20" s="1736">
        <f>'XM.GUI MAIL'!P20</f>
        <v>0.43343749999999998</v>
      </c>
      <c r="N20" s="1404" t="s">
        <v>8</v>
      </c>
      <c r="O20" s="1405">
        <f>'XM.GUI MAIL'!S20</f>
        <v>35.145625000000074</v>
      </c>
      <c r="P20" s="1406" t="s">
        <v>10</v>
      </c>
      <c r="Q20" s="1736">
        <f>'XM.GUI MAIL'!W20</f>
        <v>0.47906250000000006</v>
      </c>
      <c r="R20" s="1404" t="s">
        <v>8</v>
      </c>
      <c r="S20" s="1405">
        <f>'XM.GUI MAIL'!Z20</f>
        <v>0</v>
      </c>
      <c r="T20" s="18" t="s">
        <v>10</v>
      </c>
      <c r="U20" s="102" t="s">
        <v>43</v>
      </c>
      <c r="W20" s="102">
        <v>7</v>
      </c>
      <c r="X20" s="3256" t="s">
        <v>57</v>
      </c>
      <c r="Y20" s="3369"/>
      <c r="Z20" s="3369"/>
      <c r="AA20" s="3257"/>
      <c r="AB20" s="2018"/>
      <c r="AC20" s="1796" t="s">
        <v>10</v>
      </c>
      <c r="AD20" s="1791"/>
      <c r="AE20" s="1792" t="s">
        <v>6</v>
      </c>
      <c r="AF20" s="2018"/>
      <c r="AG20" s="1796" t="s">
        <v>10</v>
      </c>
      <c r="AH20" s="1791"/>
      <c r="AI20" s="1792" t="s">
        <v>6</v>
      </c>
      <c r="AJ20" s="2018"/>
      <c r="AK20" s="1796" t="s">
        <v>10</v>
      </c>
      <c r="AL20" s="1791"/>
      <c r="AM20" s="1792" t="s">
        <v>6</v>
      </c>
    </row>
    <row r="21" spans="1:39" ht="33.75" hidden="1" customHeight="1">
      <c r="A21" s="102">
        <v>8</v>
      </c>
      <c r="B21" s="3256" t="s">
        <v>58</v>
      </c>
      <c r="C21" s="3369"/>
      <c r="D21" s="3369"/>
      <c r="E21" s="3257"/>
      <c r="F21" s="1025" t="s">
        <v>6</v>
      </c>
      <c r="G21" s="1005" t="str">
        <f>'XM.GUI MAIL'!$E$21</f>
        <v>(22±5) =17~27</v>
      </c>
      <c r="H21" s="2203" t="str">
        <f>'XM.GUI MAIL'!$F$21</f>
        <v>(22±5)</v>
      </c>
      <c r="I21" s="2198">
        <f>'XM.GUI MAIL'!I21</f>
        <v>0</v>
      </c>
      <c r="J21" s="1055" t="s">
        <v>8</v>
      </c>
      <c r="K21" s="55">
        <f>'XM.GUI MAIL'!L21</f>
        <v>0</v>
      </c>
      <c r="L21" s="56" t="s">
        <v>10</v>
      </c>
      <c r="M21" s="1765">
        <f>'XM.GUI MAIL'!P21</f>
        <v>0</v>
      </c>
      <c r="N21" s="1055" t="s">
        <v>8</v>
      </c>
      <c r="O21" s="55">
        <f>'XM.GUI MAIL'!S21</f>
        <v>0</v>
      </c>
      <c r="P21" s="56" t="s">
        <v>10</v>
      </c>
      <c r="Q21" s="1765">
        <f>'XM.GUI MAIL'!W21</f>
        <v>0</v>
      </c>
      <c r="R21" s="1055" t="s">
        <v>8</v>
      </c>
      <c r="S21" s="55">
        <f>'XM.GUI MAIL'!Z21</f>
        <v>0</v>
      </c>
      <c r="T21" s="18" t="s">
        <v>10</v>
      </c>
      <c r="U21" s="102" t="s">
        <v>43</v>
      </c>
      <c r="W21" s="102">
        <v>8</v>
      </c>
      <c r="X21" s="3256" t="s">
        <v>58</v>
      </c>
      <c r="Y21" s="3369"/>
      <c r="Z21" s="3369"/>
      <c r="AA21" s="3257"/>
      <c r="AB21" s="2018"/>
      <c r="AC21" s="1796" t="s">
        <v>10</v>
      </c>
      <c r="AD21" s="1791"/>
      <c r="AE21" s="1792" t="s">
        <v>6</v>
      </c>
      <c r="AF21" s="2018"/>
      <c r="AG21" s="1796" t="s">
        <v>10</v>
      </c>
      <c r="AH21" s="1791"/>
      <c r="AI21" s="1792" t="s">
        <v>6</v>
      </c>
      <c r="AJ21" s="2018"/>
      <c r="AK21" s="1796" t="s">
        <v>10</v>
      </c>
      <c r="AL21" s="1791"/>
      <c r="AM21" s="1792" t="s">
        <v>6</v>
      </c>
    </row>
    <row r="22" spans="1:39" ht="30" customHeight="1">
      <c r="A22" s="102">
        <v>9</v>
      </c>
      <c r="B22" s="3256" t="s">
        <v>107</v>
      </c>
      <c r="C22" s="3369"/>
      <c r="D22" s="3369"/>
      <c r="E22" s="3257"/>
      <c r="F22" s="1025" t="s">
        <v>6</v>
      </c>
      <c r="G22" s="1005" t="str">
        <f>'XM.GUI MAIL'!$E$22</f>
        <v>5~15</v>
      </c>
      <c r="H22" s="2203" t="str">
        <f>'XM.GUI MAIL'!$F$22</f>
        <v>(10±3)</v>
      </c>
      <c r="I22" s="2198">
        <f>'XM.GUI MAIL'!I22</f>
        <v>0</v>
      </c>
      <c r="J22" s="1404" t="s">
        <v>8</v>
      </c>
      <c r="K22" s="1405">
        <f>'XM.GUI MAIL'!L22</f>
        <v>0</v>
      </c>
      <c r="L22" s="1406" t="s">
        <v>10</v>
      </c>
      <c r="M22" s="1765">
        <f>'XM.GUI MAIL'!P22</f>
        <v>0.13459375000000001</v>
      </c>
      <c r="N22" s="1404" t="s">
        <v>8</v>
      </c>
      <c r="O22" s="1405">
        <f>'XM.GUI MAIL'!S22</f>
        <v>0</v>
      </c>
      <c r="P22" s="1406" t="s">
        <v>10</v>
      </c>
      <c r="Q22" s="1765">
        <f>'XM.GUI MAIL'!W22</f>
        <v>0.18478124999999998</v>
      </c>
      <c r="R22" s="1404" t="s">
        <v>8</v>
      </c>
      <c r="S22" s="1405">
        <f>'XM.GUI MAIL'!Z22</f>
        <v>0</v>
      </c>
      <c r="T22" s="18" t="s">
        <v>10</v>
      </c>
      <c r="U22" s="102" t="s">
        <v>44</v>
      </c>
      <c r="W22" s="102">
        <v>9</v>
      </c>
      <c r="X22" s="3256" t="s">
        <v>107</v>
      </c>
      <c r="Y22" s="3369"/>
      <c r="Z22" s="3369"/>
      <c r="AA22" s="3257"/>
      <c r="AB22" s="2018"/>
      <c r="AC22" s="1796" t="s">
        <v>10</v>
      </c>
      <c r="AD22" s="1791"/>
      <c r="AE22" s="1792" t="s">
        <v>6</v>
      </c>
      <c r="AF22" s="2018"/>
      <c r="AG22" s="1796" t="s">
        <v>10</v>
      </c>
      <c r="AH22" s="1791"/>
      <c r="AI22" s="1792" t="s">
        <v>6</v>
      </c>
      <c r="AJ22" s="2018" t="s">
        <v>1684</v>
      </c>
      <c r="AK22" s="1796" t="s">
        <v>10</v>
      </c>
      <c r="AL22" s="1791">
        <v>15.66</v>
      </c>
      <c r="AM22" s="1792" t="s">
        <v>6</v>
      </c>
    </row>
    <row r="23" spans="1:39" ht="33.75" customHeight="1">
      <c r="A23" s="102">
        <v>10</v>
      </c>
      <c r="B23" s="3256" t="s">
        <v>106</v>
      </c>
      <c r="C23" s="3369"/>
      <c r="D23" s="3369"/>
      <c r="E23" s="3257"/>
      <c r="F23" s="1025" t="s">
        <v>3</v>
      </c>
      <c r="G23" s="1005" t="str">
        <f>'XM.GUI MAIL'!$E$23</f>
        <v>0.5~1.0</v>
      </c>
      <c r="H23" s="2203" t="str">
        <f>'XM.GUI MAIL'!$F$23</f>
        <v>(0.7±0.1)</v>
      </c>
      <c r="I23" s="1767">
        <f>'XM.GUI MAIL'!I23</f>
        <v>0</v>
      </c>
      <c r="J23" s="1404" t="s">
        <v>8</v>
      </c>
      <c r="K23" s="1409">
        <f>'XM.GUI MAIL'!L23</f>
        <v>0</v>
      </c>
      <c r="L23" s="1406" t="s">
        <v>10</v>
      </c>
      <c r="M23" s="1767" t="s">
        <v>1678</v>
      </c>
      <c r="N23" s="1404" t="s">
        <v>8</v>
      </c>
      <c r="O23" s="1409">
        <f>'XM.GUI MAIL'!S23</f>
        <v>0</v>
      </c>
      <c r="P23" s="1406" t="s">
        <v>10</v>
      </c>
      <c r="Q23" s="1767" t="s">
        <v>1678</v>
      </c>
      <c r="R23" s="1404" t="s">
        <v>8</v>
      </c>
      <c r="S23" s="1409">
        <f>'XM.GUI MAIL'!Z23</f>
        <v>0</v>
      </c>
      <c r="T23" s="18" t="s">
        <v>10</v>
      </c>
      <c r="U23" s="102" t="s">
        <v>44</v>
      </c>
      <c r="W23" s="102">
        <v>10</v>
      </c>
      <c r="X23" s="3256" t="s">
        <v>106</v>
      </c>
      <c r="Y23" s="3369"/>
      <c r="Z23" s="3369"/>
      <c r="AA23" s="3257"/>
      <c r="AB23" s="2018"/>
      <c r="AC23" s="1796" t="s">
        <v>10</v>
      </c>
      <c r="AD23" s="1791"/>
      <c r="AE23" s="1792" t="s">
        <v>3</v>
      </c>
      <c r="AF23" s="2018"/>
      <c r="AG23" s="1796" t="s">
        <v>10</v>
      </c>
      <c r="AH23" s="1791"/>
      <c r="AI23" s="1792" t="s">
        <v>3</v>
      </c>
      <c r="AJ23" s="2018"/>
      <c r="AK23" s="1796" t="s">
        <v>10</v>
      </c>
      <c r="AL23" s="1791"/>
      <c r="AM23" s="1792" t="s">
        <v>3</v>
      </c>
    </row>
    <row r="24" spans="1:39" ht="30.75" customHeight="1">
      <c r="A24" s="3374">
        <v>13</v>
      </c>
      <c r="B24" s="3143" t="s">
        <v>73</v>
      </c>
      <c r="C24" s="3144"/>
      <c r="D24" s="3144"/>
      <c r="E24" s="3145"/>
      <c r="F24" s="1035" t="s">
        <v>3</v>
      </c>
      <c r="G24" s="1005" t="str">
        <f>'XM.GUI MAIL'!$E$24</f>
        <v>5~10</v>
      </c>
      <c r="H24" s="2203" t="str">
        <f>'XM.GUI MAIL'!$F$24</f>
        <v>(7.5±1)</v>
      </c>
      <c r="I24" s="2200" t="str">
        <f>'XM.GUI MAIL'!I24</f>
        <v/>
      </c>
      <c r="J24" s="1055" t="s">
        <v>8</v>
      </c>
      <c r="K24" s="57" t="str">
        <f>'XM.GUI MAIL'!L24</f>
        <v/>
      </c>
      <c r="L24" s="56" t="s">
        <v>10</v>
      </c>
      <c r="M24" s="1833">
        <f>'XM.GUI MAIL'!P24</f>
        <v>7.6923076923076916</v>
      </c>
      <c r="N24" s="1055" t="s">
        <v>8</v>
      </c>
      <c r="O24" s="57">
        <f>'XM.GUI MAIL'!S24</f>
        <v>0</v>
      </c>
      <c r="P24" s="56" t="s">
        <v>10</v>
      </c>
      <c r="Q24" s="1833">
        <f>'XM.GUI MAIL'!W24</f>
        <v>7.6923076923076916</v>
      </c>
      <c r="R24" s="1055" t="s">
        <v>8</v>
      </c>
      <c r="S24" s="57">
        <f>'XM.GUI MAIL'!Z24</f>
        <v>0</v>
      </c>
      <c r="T24" s="56" t="s">
        <v>10</v>
      </c>
      <c r="U24" s="102"/>
      <c r="W24" s="3374">
        <v>13</v>
      </c>
      <c r="X24" s="3143" t="s">
        <v>73</v>
      </c>
      <c r="Y24" s="3144"/>
      <c r="Z24" s="3144"/>
      <c r="AA24" s="3145"/>
      <c r="AB24" s="2018"/>
      <c r="AC24" s="1741" t="s">
        <v>10</v>
      </c>
      <c r="AD24" s="1791"/>
      <c r="AE24" s="1759" t="s">
        <v>3</v>
      </c>
      <c r="AF24" s="2018"/>
      <c r="AG24" s="1741" t="s">
        <v>10</v>
      </c>
      <c r="AH24" s="1791"/>
      <c r="AI24" s="1759" t="s">
        <v>3</v>
      </c>
      <c r="AJ24" s="2018"/>
      <c r="AK24" s="1741" t="s">
        <v>10</v>
      </c>
      <c r="AL24" s="1791"/>
      <c r="AM24" s="1759" t="s">
        <v>3</v>
      </c>
    </row>
    <row r="25" spans="1:39" ht="30.75" customHeight="1">
      <c r="A25" s="3375"/>
      <c r="B25" s="3146"/>
      <c r="C25" s="3147"/>
      <c r="D25" s="3147"/>
      <c r="E25" s="3148"/>
      <c r="F25" s="1035" t="s">
        <v>5</v>
      </c>
      <c r="G25" s="1005" t="str">
        <f>'XM.GUI MAIL'!$E$25</f>
        <v>2.0~2.4</v>
      </c>
      <c r="H25" s="2203" t="str">
        <f>'XM.GUI MAIL'!$F$25</f>
        <v>(2.2±0.1)</v>
      </c>
      <c r="I25" s="2176">
        <f>'XM.GUI MAIL'!I25</f>
        <v>0</v>
      </c>
      <c r="J25" s="1055"/>
      <c r="K25" s="55">
        <f>'XM.GUI MAIL'!L25</f>
        <v>0</v>
      </c>
      <c r="L25" s="2231"/>
      <c r="M25" s="2176">
        <f>'XM.GUI MAIL'!P25</f>
        <v>2.2799999999999998</v>
      </c>
      <c r="N25" s="1055"/>
      <c r="O25" s="55">
        <f>'XM.GUI MAIL'!S25</f>
        <v>0</v>
      </c>
      <c r="P25" s="56"/>
      <c r="Q25" s="2176">
        <f>'XM.GUI MAIL'!W25</f>
        <v>2.2599999999999998</v>
      </c>
      <c r="R25" s="1055"/>
      <c r="S25" s="55">
        <f>'XM.GUI MAIL'!Z25</f>
        <v>0</v>
      </c>
      <c r="T25" s="56"/>
      <c r="U25" s="102"/>
      <c r="W25" s="3375"/>
      <c r="X25" s="3146"/>
      <c r="Y25" s="3147"/>
      <c r="Z25" s="3147"/>
      <c r="AA25" s="3148"/>
      <c r="AB25" s="2019"/>
      <c r="AC25" s="1741"/>
      <c r="AD25" s="1811"/>
      <c r="AE25" s="1759" t="s">
        <v>5</v>
      </c>
      <c r="AF25" s="2019"/>
      <c r="AG25" s="1741"/>
      <c r="AH25" s="1811"/>
      <c r="AI25" s="1759" t="s">
        <v>5</v>
      </c>
      <c r="AJ25" s="2019"/>
      <c r="AK25" s="1741"/>
      <c r="AL25" s="1811"/>
      <c r="AM25" s="1759" t="s">
        <v>5</v>
      </c>
    </row>
    <row r="26" spans="1:39" ht="33.75" customHeight="1">
      <c r="A26" s="258"/>
      <c r="B26" s="259"/>
      <c r="C26" s="259"/>
      <c r="D26" s="259"/>
      <c r="E26" s="259"/>
      <c r="F26" s="259"/>
      <c r="G26" s="257" t="s">
        <v>108</v>
      </c>
      <c r="H26" s="257"/>
      <c r="I26" s="259"/>
      <c r="J26" s="259"/>
      <c r="K26" s="259"/>
      <c r="L26" s="259"/>
      <c r="M26" s="259"/>
      <c r="N26" s="259"/>
      <c r="O26" s="259"/>
      <c r="P26" s="259"/>
      <c r="Q26" s="259"/>
      <c r="R26" s="259"/>
      <c r="S26" s="259"/>
      <c r="T26" s="259"/>
      <c r="U26" s="260"/>
      <c r="W26" s="1514"/>
      <c r="X26" s="259"/>
      <c r="Y26" s="259"/>
      <c r="Z26" s="259"/>
      <c r="AA26" s="259"/>
      <c r="AB26" s="259"/>
      <c r="AC26" s="259"/>
      <c r="AD26" s="259"/>
      <c r="AE26" s="259"/>
      <c r="AF26" s="259"/>
      <c r="AG26" s="259"/>
      <c r="AH26" s="259"/>
      <c r="AI26" s="259"/>
      <c r="AJ26" s="259"/>
      <c r="AK26" s="259"/>
      <c r="AL26" s="259"/>
      <c r="AM26" s="259"/>
    </row>
    <row r="27" spans="1:39" ht="33.75" customHeight="1">
      <c r="A27" s="102" t="s">
        <v>7</v>
      </c>
      <c r="B27" s="3256" t="s">
        <v>60</v>
      </c>
      <c r="C27" s="3369"/>
      <c r="D27" s="3369"/>
      <c r="E27" s="3257"/>
      <c r="F27" s="1028" t="s">
        <v>62</v>
      </c>
      <c r="G27" s="975" t="s">
        <v>1296</v>
      </c>
      <c r="H27" s="2204" t="s">
        <v>1289</v>
      </c>
      <c r="I27" s="3192" t="s">
        <v>45</v>
      </c>
      <c r="J27" s="3122"/>
      <c r="K27" s="3122" t="s">
        <v>61</v>
      </c>
      <c r="L27" s="3122"/>
      <c r="M27" s="3122" t="s">
        <v>45</v>
      </c>
      <c r="N27" s="3122"/>
      <c r="O27" s="3122" t="s">
        <v>61</v>
      </c>
      <c r="P27" s="3122"/>
      <c r="Q27" s="3122" t="s">
        <v>45</v>
      </c>
      <c r="R27" s="3122"/>
      <c r="S27" s="3122" t="s">
        <v>61</v>
      </c>
      <c r="T27" s="3122"/>
      <c r="U27" s="1018"/>
      <c r="W27" s="102" t="s">
        <v>7</v>
      </c>
      <c r="X27" s="3256" t="s">
        <v>60</v>
      </c>
      <c r="Y27" s="3369"/>
      <c r="Z27" s="3369"/>
      <c r="AA27" s="3257"/>
      <c r="AB27" s="3366" t="s">
        <v>1345</v>
      </c>
      <c r="AC27" s="3199"/>
      <c r="AD27" s="3199"/>
      <c r="AE27" s="3200"/>
      <c r="AF27" s="3366" t="s">
        <v>1345</v>
      </c>
      <c r="AG27" s="3199"/>
      <c r="AH27" s="3199"/>
      <c r="AI27" s="3200"/>
      <c r="AJ27" s="3366" t="s">
        <v>1345</v>
      </c>
      <c r="AK27" s="3199"/>
      <c r="AL27" s="3199"/>
      <c r="AM27" s="3200"/>
    </row>
    <row r="28" spans="1:39" ht="31.5" customHeight="1">
      <c r="A28" s="102">
        <v>1</v>
      </c>
      <c r="B28" s="3256" t="s">
        <v>64</v>
      </c>
      <c r="C28" s="3369"/>
      <c r="D28" s="3369"/>
      <c r="E28" s="3257"/>
      <c r="F28" s="21" t="s">
        <v>104</v>
      </c>
      <c r="G28" s="1006" t="str">
        <f>'XM.GUI MAIL'!$E$28</f>
        <v>50~70</v>
      </c>
      <c r="H28" s="2222" t="str">
        <f>'XM.GUI MAIL'!$F$28</f>
        <v>(60±5)</v>
      </c>
      <c r="I28" s="3195">
        <f>'XM.FILE GOC'!I28</f>
        <v>0</v>
      </c>
      <c r="J28" s="3121"/>
      <c r="K28" s="3121">
        <f>'XM.GUI MAIL'!L28</f>
        <v>0</v>
      </c>
      <c r="L28" s="3121"/>
      <c r="M28" s="3121">
        <f>'XM.FILE GOC'!P28</f>
        <v>62</v>
      </c>
      <c r="N28" s="3121"/>
      <c r="O28" s="3121">
        <f>'XM.GUI MAIL'!S28</f>
        <v>63</v>
      </c>
      <c r="P28" s="3121"/>
      <c r="Q28" s="3121">
        <f>'XM.FILE GOC'!W28</f>
        <v>62</v>
      </c>
      <c r="R28" s="3121"/>
      <c r="S28" s="3121">
        <f>'XM.GUI MAIL'!Z28</f>
        <v>62</v>
      </c>
      <c r="T28" s="3121"/>
      <c r="U28" s="102"/>
      <c r="W28" s="102">
        <v>1</v>
      </c>
      <c r="X28" s="3256" t="s">
        <v>64</v>
      </c>
      <c r="Y28" s="3369"/>
      <c r="Z28" s="3369"/>
      <c r="AA28" s="3257"/>
      <c r="AB28" s="1505"/>
      <c r="AC28" s="1787"/>
      <c r="AD28" s="1506"/>
      <c r="AE28" s="1787"/>
      <c r="AF28" s="1505"/>
      <c r="AG28" s="1787"/>
      <c r="AH28" s="1787"/>
      <c r="AI28" s="1506"/>
      <c r="AJ28" s="1505"/>
      <c r="AK28" s="1787"/>
      <c r="AL28" s="1787"/>
      <c r="AM28" s="1506"/>
    </row>
    <row r="29" spans="1:39" ht="31.5" customHeight="1">
      <c r="A29" s="102">
        <v>2</v>
      </c>
      <c r="B29" s="3256" t="s">
        <v>65</v>
      </c>
      <c r="C29" s="3369" t="s">
        <v>65</v>
      </c>
      <c r="D29" s="3369" t="s">
        <v>65</v>
      </c>
      <c r="E29" s="3257" t="s">
        <v>65</v>
      </c>
      <c r="F29" s="21" t="s">
        <v>104</v>
      </c>
      <c r="G29" s="1006" t="str">
        <f>'XM.GUI MAIL'!$E$29</f>
        <v>50~70</v>
      </c>
      <c r="H29" s="2222" t="str">
        <f>'XM.GUI MAIL'!$F$29</f>
        <v>(60±5)</v>
      </c>
      <c r="I29" s="3195">
        <f>'XM.FILE GOC'!I29</f>
        <v>0</v>
      </c>
      <c r="J29" s="3121"/>
      <c r="K29" s="3121">
        <f>'XM.GUI MAIL'!L29</f>
        <v>0</v>
      </c>
      <c r="L29" s="3121"/>
      <c r="M29" s="3121">
        <f>'XM.FILE GOC'!P29</f>
        <v>60</v>
      </c>
      <c r="N29" s="3121"/>
      <c r="O29" s="3121">
        <f>'XM.GUI MAIL'!S29</f>
        <v>60</v>
      </c>
      <c r="P29" s="3121"/>
      <c r="Q29" s="3121">
        <f>'XM.FILE GOC'!W29</f>
        <v>60</v>
      </c>
      <c r="R29" s="3121"/>
      <c r="S29" s="3121">
        <f>'XM.GUI MAIL'!Z29</f>
        <v>60</v>
      </c>
      <c r="T29" s="3121"/>
      <c r="U29" s="102"/>
      <c r="W29" s="102">
        <v>2</v>
      </c>
      <c r="X29" s="3256" t="s">
        <v>65</v>
      </c>
      <c r="Y29" s="3369" t="s">
        <v>65</v>
      </c>
      <c r="Z29" s="3369" t="s">
        <v>65</v>
      </c>
      <c r="AA29" s="3257" t="s">
        <v>65</v>
      </c>
      <c r="AB29" s="1505"/>
      <c r="AC29" s="1787"/>
      <c r="AD29" s="1506"/>
      <c r="AE29" s="1787"/>
      <c r="AF29" s="1505"/>
      <c r="AG29" s="1787"/>
      <c r="AH29" s="1787"/>
      <c r="AI29" s="1506"/>
      <c r="AJ29" s="1505"/>
      <c r="AK29" s="1787"/>
      <c r="AL29" s="1787"/>
      <c r="AM29" s="1506"/>
    </row>
    <row r="30" spans="1:39" ht="31.5" customHeight="1">
      <c r="A30" s="102">
        <v>3</v>
      </c>
      <c r="B30" s="3256" t="s">
        <v>67</v>
      </c>
      <c r="C30" s="3369" t="s">
        <v>67</v>
      </c>
      <c r="D30" s="3369" t="s">
        <v>67</v>
      </c>
      <c r="E30" s="3257" t="s">
        <v>67</v>
      </c>
      <c r="F30" s="21" t="s">
        <v>104</v>
      </c>
      <c r="G30" s="1006" t="str">
        <f>'XM.GUI MAIL'!$E$30</f>
        <v>40~60</v>
      </c>
      <c r="H30" s="2222" t="str">
        <f>'XM.GUI MAIL'!$F$30</f>
        <v>(50±5)</v>
      </c>
      <c r="I30" s="3096">
        <f>'XM.FILE GOC'!I30</f>
        <v>0</v>
      </c>
      <c r="J30" s="3086"/>
      <c r="K30" s="3095">
        <f>'XM.GUI MAIL'!L30</f>
        <v>0</v>
      </c>
      <c r="L30" s="3086"/>
      <c r="M30" s="3095">
        <f>'XM.FILE GOC'!P30</f>
        <v>53</v>
      </c>
      <c r="N30" s="3086"/>
      <c r="O30" s="3095">
        <f>'XM.GUI MAIL'!S30</f>
        <v>52</v>
      </c>
      <c r="P30" s="3086"/>
      <c r="Q30" s="3095">
        <f>'XM.FILE GOC'!W30</f>
        <v>53</v>
      </c>
      <c r="R30" s="3086"/>
      <c r="S30" s="3095">
        <f>'XM.GUI MAIL'!Z30</f>
        <v>53</v>
      </c>
      <c r="T30" s="3086"/>
      <c r="U30" s="102"/>
      <c r="W30" s="102">
        <v>3</v>
      </c>
      <c r="X30" s="3256" t="s">
        <v>67</v>
      </c>
      <c r="Y30" s="3369" t="s">
        <v>67</v>
      </c>
      <c r="Z30" s="3369" t="s">
        <v>67</v>
      </c>
      <c r="AA30" s="3257" t="s">
        <v>67</v>
      </c>
      <c r="AB30" s="1505"/>
      <c r="AC30" s="1787"/>
      <c r="AD30" s="1506"/>
      <c r="AE30" s="1787"/>
      <c r="AF30" s="1505"/>
      <c r="AG30" s="1787"/>
      <c r="AH30" s="1787"/>
      <c r="AI30" s="1506"/>
      <c r="AJ30" s="1505"/>
      <c r="AK30" s="1787"/>
      <c r="AL30" s="1787"/>
      <c r="AM30" s="1506"/>
    </row>
    <row r="31" spans="1:39" ht="31.5" customHeight="1">
      <c r="A31" s="102">
        <v>4</v>
      </c>
      <c r="B31" s="3256" t="s">
        <v>66</v>
      </c>
      <c r="C31" s="3369" t="s">
        <v>66</v>
      </c>
      <c r="D31" s="3369" t="s">
        <v>66</v>
      </c>
      <c r="E31" s="3257" t="s">
        <v>66</v>
      </c>
      <c r="F31" s="21" t="s">
        <v>104</v>
      </c>
      <c r="G31" s="1006" t="str">
        <f>'XM.GUI MAIL'!$E$31</f>
        <v>40~60</v>
      </c>
      <c r="H31" s="2222" t="str">
        <f>'XM.GUI MAIL'!$F$31</f>
        <v>(50±5)</v>
      </c>
      <c r="I31" s="3096">
        <f>'XM.FILE GOC'!I31</f>
        <v>0</v>
      </c>
      <c r="J31" s="3086"/>
      <c r="K31" s="3095">
        <f>'XM.GUI MAIL'!L31</f>
        <v>0</v>
      </c>
      <c r="L31" s="3086"/>
      <c r="M31" s="3095">
        <f>'XM.FILE GOC'!P31</f>
        <v>55</v>
      </c>
      <c r="N31" s="3086"/>
      <c r="O31" s="3095">
        <f>'XM.GUI MAIL'!S31</f>
        <v>54</v>
      </c>
      <c r="P31" s="3086"/>
      <c r="Q31" s="3095">
        <f>'XM.FILE GOC'!W31</f>
        <v>54</v>
      </c>
      <c r="R31" s="3086"/>
      <c r="S31" s="3095">
        <f>'XM.GUI MAIL'!Z31</f>
        <v>54</v>
      </c>
      <c r="T31" s="3086"/>
      <c r="U31" s="102"/>
      <c r="W31" s="102">
        <v>4</v>
      </c>
      <c r="X31" s="3256" t="s">
        <v>66</v>
      </c>
      <c r="Y31" s="3369" t="s">
        <v>66</v>
      </c>
      <c r="Z31" s="3369" t="s">
        <v>66</v>
      </c>
      <c r="AA31" s="3257" t="s">
        <v>66</v>
      </c>
      <c r="AB31" s="1505"/>
      <c r="AC31" s="1787"/>
      <c r="AD31" s="1506"/>
      <c r="AE31" s="1787"/>
      <c r="AF31" s="1505"/>
      <c r="AG31" s="1787"/>
      <c r="AH31" s="1787"/>
      <c r="AI31" s="1506"/>
      <c r="AJ31" s="1505"/>
      <c r="AK31" s="1787"/>
      <c r="AL31" s="1787"/>
      <c r="AM31" s="1506"/>
    </row>
    <row r="32" spans="1:39" ht="31.5" customHeight="1">
      <c r="A32" s="102">
        <v>5</v>
      </c>
      <c r="B32" s="3256" t="s">
        <v>68</v>
      </c>
      <c r="C32" s="3369" t="s">
        <v>68</v>
      </c>
      <c r="D32" s="3369" t="s">
        <v>68</v>
      </c>
      <c r="E32" s="3257" t="s">
        <v>68</v>
      </c>
      <c r="F32" s="21" t="s">
        <v>104</v>
      </c>
      <c r="G32" s="1006" t="str">
        <f>'XM.GUI MAIL'!$E$32</f>
        <v>20~35</v>
      </c>
      <c r="H32" s="2222" t="str">
        <f>'XM.GUI MAIL'!$F$32</f>
        <v>(30±4)</v>
      </c>
      <c r="I32" s="3195">
        <f>'XM.FILE GOC'!I32</f>
        <v>0</v>
      </c>
      <c r="J32" s="3121"/>
      <c r="K32" s="3121">
        <f>'XM.GUI MAIL'!L32</f>
        <v>0</v>
      </c>
      <c r="L32" s="3121"/>
      <c r="M32" s="3121">
        <f>'XM.FILE GOC'!P32</f>
        <v>28</v>
      </c>
      <c r="N32" s="3121"/>
      <c r="O32" s="3121">
        <f>'XM.GUI MAIL'!S32</f>
        <v>27</v>
      </c>
      <c r="P32" s="3121"/>
      <c r="Q32" s="3121">
        <f>'XM.FILE GOC'!W32</f>
        <v>26</v>
      </c>
      <c r="R32" s="3121"/>
      <c r="S32" s="3121">
        <f>'XM.GUI MAIL'!Z32</f>
        <v>26</v>
      </c>
      <c r="T32" s="3121"/>
      <c r="U32" s="102"/>
      <c r="W32" s="102">
        <v>5</v>
      </c>
      <c r="X32" s="3256" t="s">
        <v>68</v>
      </c>
      <c r="Y32" s="3369" t="s">
        <v>68</v>
      </c>
      <c r="Z32" s="3369" t="s">
        <v>68</v>
      </c>
      <c r="AA32" s="3257" t="s">
        <v>68</v>
      </c>
      <c r="AB32" s="1505"/>
      <c r="AC32" s="1787"/>
      <c r="AD32" s="1506"/>
      <c r="AE32" s="1787"/>
      <c r="AF32" s="1505"/>
      <c r="AG32" s="1787"/>
      <c r="AH32" s="1787"/>
      <c r="AI32" s="1506"/>
      <c r="AJ32" s="1505"/>
      <c r="AK32" s="1787"/>
      <c r="AL32" s="1787"/>
      <c r="AM32" s="1506"/>
    </row>
    <row r="33" spans="1:39" ht="31.5" customHeight="1">
      <c r="A33" s="102">
        <v>6</v>
      </c>
      <c r="B33" s="3256" t="s">
        <v>972</v>
      </c>
      <c r="C33" s="3369" t="s">
        <v>972</v>
      </c>
      <c r="D33" s="3369" t="s">
        <v>972</v>
      </c>
      <c r="E33" s="3257" t="s">
        <v>972</v>
      </c>
      <c r="F33" s="21" t="s">
        <v>104</v>
      </c>
      <c r="G33" s="1006" t="str">
        <f>'XM.GUI MAIL'!$E$33</f>
        <v>30~40</v>
      </c>
      <c r="H33" s="2222" t="str">
        <f>'XM.GUI MAIL'!$F$33</f>
        <v>(34±3)</v>
      </c>
      <c r="I33" s="3195">
        <f>'XM.FILE GOC'!I33</f>
        <v>0</v>
      </c>
      <c r="J33" s="3121"/>
      <c r="K33" s="3121">
        <f>'XM.GUI MAIL'!L33</f>
        <v>0</v>
      </c>
      <c r="L33" s="3121"/>
      <c r="M33" s="3121">
        <f>'XM.FILE GOC'!P33</f>
        <v>33</v>
      </c>
      <c r="N33" s="3121"/>
      <c r="O33" s="3121">
        <f>'XM.GUI MAIL'!S33</f>
        <v>32</v>
      </c>
      <c r="P33" s="3121"/>
      <c r="Q33" s="3121">
        <f>'XM.FILE GOC'!W33</f>
        <v>37</v>
      </c>
      <c r="R33" s="3121"/>
      <c r="S33" s="3121">
        <f>'XM.GUI MAIL'!Z33</f>
        <v>37</v>
      </c>
      <c r="T33" s="3121"/>
      <c r="U33" s="102"/>
      <c r="W33" s="102">
        <v>6</v>
      </c>
      <c r="X33" s="3256" t="s">
        <v>972</v>
      </c>
      <c r="Y33" s="3369" t="s">
        <v>972</v>
      </c>
      <c r="Z33" s="3369" t="s">
        <v>972</v>
      </c>
      <c r="AA33" s="3257" t="s">
        <v>972</v>
      </c>
      <c r="AB33" s="1505"/>
      <c r="AC33" s="1787"/>
      <c r="AD33" s="1506"/>
      <c r="AE33" s="1787"/>
      <c r="AF33" s="1505"/>
      <c r="AG33" s="1787"/>
      <c r="AH33" s="1787"/>
      <c r="AI33" s="1506"/>
      <c r="AJ33" s="1505"/>
      <c r="AK33" s="1787"/>
      <c r="AL33" s="1787"/>
      <c r="AM33" s="1506"/>
    </row>
    <row r="34" spans="1:39" ht="31.5" customHeight="1">
      <c r="A34" s="102">
        <v>7</v>
      </c>
      <c r="B34" s="3256" t="s">
        <v>69</v>
      </c>
      <c r="C34" s="3369" t="s">
        <v>69</v>
      </c>
      <c r="D34" s="3369" t="s">
        <v>69</v>
      </c>
      <c r="E34" s="3257" t="s">
        <v>69</v>
      </c>
      <c r="F34" s="21" t="s">
        <v>104</v>
      </c>
      <c r="G34" s="1006" t="str">
        <f>'XM.GUI MAIL'!$E$34</f>
        <v>50~70</v>
      </c>
      <c r="H34" s="2222" t="str">
        <f>'XM.GUI MAIL'!$F$34</f>
        <v>(60±10)</v>
      </c>
      <c r="I34" s="3195">
        <f>'XM.FILE GOC'!I34</f>
        <v>0</v>
      </c>
      <c r="J34" s="3121"/>
      <c r="K34" s="3121">
        <f>'XM.GUI MAIL'!L34</f>
        <v>0</v>
      </c>
      <c r="L34" s="3121"/>
      <c r="M34" s="3121">
        <f>'XM.FILE GOC'!P34</f>
        <v>44</v>
      </c>
      <c r="N34" s="3121"/>
      <c r="O34" s="3121">
        <f>'XM.GUI MAIL'!S34</f>
        <v>43</v>
      </c>
      <c r="P34" s="3121"/>
      <c r="Q34" s="3121">
        <f>'XM.FILE GOC'!W34</f>
        <v>61</v>
      </c>
      <c r="R34" s="3121"/>
      <c r="S34" s="3121">
        <f>'XM.GUI MAIL'!Z34</f>
        <v>61</v>
      </c>
      <c r="T34" s="3121"/>
      <c r="U34" s="102"/>
      <c r="W34" s="102">
        <v>7</v>
      </c>
      <c r="X34" s="3256" t="s">
        <v>69</v>
      </c>
      <c r="Y34" s="3369" t="s">
        <v>69</v>
      </c>
      <c r="Z34" s="3369" t="s">
        <v>69</v>
      </c>
      <c r="AA34" s="3257" t="s">
        <v>69</v>
      </c>
      <c r="AB34" s="1505"/>
      <c r="AC34" s="1787"/>
      <c r="AD34" s="1506"/>
      <c r="AE34" s="1787"/>
      <c r="AF34" s="1505"/>
      <c r="AG34" s="1787"/>
      <c r="AH34" s="1787"/>
      <c r="AI34" s="1506"/>
      <c r="AJ34" s="1505"/>
      <c r="AK34" s="1787"/>
      <c r="AL34" s="1787"/>
      <c r="AM34" s="1506"/>
    </row>
    <row r="35" spans="1:39" ht="31.5" customHeight="1">
      <c r="A35" s="102">
        <v>8</v>
      </c>
      <c r="B35" s="3370" t="s">
        <v>70</v>
      </c>
      <c r="C35" s="3371" t="s">
        <v>70</v>
      </c>
      <c r="D35" s="3371" t="s">
        <v>70</v>
      </c>
      <c r="E35" s="3372" t="s">
        <v>70</v>
      </c>
      <c r="F35" s="21" t="s">
        <v>104</v>
      </c>
      <c r="G35" s="1006" t="str">
        <f>'XM.GUI MAIL'!$E$35</f>
        <v>80~100</v>
      </c>
      <c r="H35" s="2222" t="str">
        <f>'XM.GUI MAIL'!$F$35</f>
        <v>(90±5)</v>
      </c>
      <c r="I35" s="3192" t="str">
        <f>'XM.FILE GOC'!I35</f>
        <v>\</v>
      </c>
      <c r="J35" s="3122"/>
      <c r="K35" s="3121">
        <f>'XM.GUI MAIL'!L35</f>
        <v>0</v>
      </c>
      <c r="L35" s="3121"/>
      <c r="M35" s="3122" t="str">
        <f>'XM.FILE GOC'!P35</f>
        <v>\</v>
      </c>
      <c r="N35" s="3122"/>
      <c r="O35" s="3121" t="str">
        <f>'XM.GUI MAIL'!S35</f>
        <v>chưa mở</v>
      </c>
      <c r="P35" s="3121"/>
      <c r="Q35" s="3122" t="str">
        <f>'XM.FILE GOC'!W35</f>
        <v>\</v>
      </c>
      <c r="R35" s="3122"/>
      <c r="S35" s="3121" t="str">
        <f>'XM.GUI MAIL'!Z35</f>
        <v>chưa mở</v>
      </c>
      <c r="T35" s="3121"/>
      <c r="U35" s="102"/>
      <c r="W35" s="102">
        <v>8</v>
      </c>
      <c r="X35" s="3370" t="s">
        <v>70</v>
      </c>
      <c r="Y35" s="3371" t="s">
        <v>70</v>
      </c>
      <c r="Z35" s="3371" t="s">
        <v>70</v>
      </c>
      <c r="AA35" s="3372" t="s">
        <v>70</v>
      </c>
      <c r="AB35" s="1505"/>
      <c r="AC35" s="1787"/>
      <c r="AD35" s="1506"/>
      <c r="AE35" s="1787"/>
      <c r="AF35" s="1505"/>
      <c r="AG35" s="1787"/>
      <c r="AH35" s="1787"/>
      <c r="AI35" s="1506"/>
      <c r="AJ35" s="1505"/>
      <c r="AK35" s="1787"/>
      <c r="AL35" s="1787"/>
      <c r="AM35" s="1506"/>
    </row>
    <row r="36" spans="1:39" ht="33.75" customHeight="1">
      <c r="A36" s="258"/>
      <c r="B36" s="254"/>
      <c r="C36" s="255"/>
      <c r="D36" s="255"/>
      <c r="E36" s="255"/>
      <c r="F36" s="255"/>
      <c r="G36" s="257" t="s">
        <v>109</v>
      </c>
      <c r="H36" s="257"/>
      <c r="I36" s="255"/>
      <c r="J36" s="255"/>
      <c r="K36" s="255"/>
      <c r="L36" s="255"/>
      <c r="M36" s="255"/>
      <c r="N36" s="255"/>
      <c r="O36" s="255"/>
      <c r="P36" s="255"/>
      <c r="Q36" s="255"/>
      <c r="R36" s="255"/>
      <c r="S36" s="255"/>
      <c r="T36" s="255"/>
      <c r="U36" s="256"/>
      <c r="W36" s="258"/>
      <c r="X36" s="3402"/>
      <c r="Y36" s="3402"/>
      <c r="Z36" s="3402"/>
      <c r="AA36" s="3402"/>
      <c r="AB36" s="3402"/>
      <c r="AC36" s="3402"/>
      <c r="AD36" s="3402"/>
      <c r="AE36" s="3402"/>
      <c r="AF36" s="3402"/>
      <c r="AG36" s="3402"/>
      <c r="AH36" s="3402"/>
      <c r="AI36" s="3402"/>
      <c r="AJ36" s="3402"/>
      <c r="AK36" s="3402"/>
      <c r="AL36" s="3402"/>
      <c r="AM36" s="3402"/>
    </row>
    <row r="37" spans="1:39" ht="33.75" customHeight="1">
      <c r="A37" s="102" t="s">
        <v>7</v>
      </c>
      <c r="B37" s="3256" t="s">
        <v>91</v>
      </c>
      <c r="C37" s="3369"/>
      <c r="D37" s="3369"/>
      <c r="E37" s="3257"/>
      <c r="F37" s="1024" t="s">
        <v>92</v>
      </c>
      <c r="G37" s="975" t="s">
        <v>1296</v>
      </c>
      <c r="H37" s="2204" t="s">
        <v>1289</v>
      </c>
      <c r="I37" s="3191" t="s">
        <v>110</v>
      </c>
      <c r="J37" s="3191"/>
      <c r="K37" s="3191"/>
      <c r="L37" s="3192"/>
      <c r="M37" s="3190" t="s">
        <v>110</v>
      </c>
      <c r="N37" s="3191"/>
      <c r="O37" s="3191"/>
      <c r="P37" s="3192"/>
      <c r="Q37" s="3190" t="s">
        <v>110</v>
      </c>
      <c r="R37" s="3191"/>
      <c r="S37" s="3191"/>
      <c r="T37" s="3192"/>
      <c r="U37" s="1018"/>
      <c r="W37" s="102" t="s">
        <v>7</v>
      </c>
      <c r="X37" s="3386" t="s">
        <v>91</v>
      </c>
      <c r="Y37" s="3386"/>
      <c r="Z37" s="3386"/>
      <c r="AA37" s="3386"/>
      <c r="AB37" s="3366" t="s">
        <v>1345</v>
      </c>
      <c r="AC37" s="3199"/>
      <c r="AD37" s="3200"/>
      <c r="AE37" s="1784"/>
      <c r="AF37" s="3366" t="s">
        <v>1345</v>
      </c>
      <c r="AG37" s="3199"/>
      <c r="AH37" s="3199"/>
      <c r="AI37" s="3200"/>
      <c r="AJ37" s="3366" t="s">
        <v>1345</v>
      </c>
      <c r="AK37" s="3199"/>
      <c r="AL37" s="3199"/>
      <c r="AM37" s="3200"/>
    </row>
    <row r="38" spans="1:39" ht="33.75" customHeight="1">
      <c r="A38" s="102">
        <v>1</v>
      </c>
      <c r="B38" s="3256" t="s">
        <v>50</v>
      </c>
      <c r="C38" s="3369"/>
      <c r="D38" s="3369"/>
      <c r="E38" s="3257"/>
      <c r="F38" s="2865" t="s">
        <v>1641</v>
      </c>
      <c r="G38" s="261" t="str">
        <f>'XM.GUI MAIL'!$E$37</f>
        <v>300-360</v>
      </c>
      <c r="H38" s="2223" t="str">
        <f>'XM.GUI MAIL'!$F$37</f>
        <v>300-360</v>
      </c>
      <c r="I38" s="3373">
        <f>'XM.FILE GOC'!I37</f>
        <v>0</v>
      </c>
      <c r="J38" s="3373"/>
      <c r="K38" s="3373"/>
      <c r="L38" s="3373"/>
      <c r="M38" s="3296">
        <f>'XM.FILE GOC'!P37</f>
        <v>0</v>
      </c>
      <c r="N38" s="3373"/>
      <c r="O38" s="3373"/>
      <c r="P38" s="3373"/>
      <c r="Q38" s="3296">
        <f>'XM.FILE GOC'!W37</f>
        <v>0</v>
      </c>
      <c r="R38" s="3373"/>
      <c r="S38" s="3373"/>
      <c r="T38" s="3373"/>
      <c r="U38" s="102"/>
      <c r="W38" s="102">
        <v>1</v>
      </c>
      <c r="X38" s="3256" t="s">
        <v>50</v>
      </c>
      <c r="Y38" s="3369"/>
      <c r="Z38" s="3369"/>
      <c r="AA38" s="3257"/>
      <c r="AB38" s="1505"/>
      <c r="AC38" s="1787"/>
      <c r="AD38" s="1506"/>
      <c r="AE38" s="1787"/>
      <c r="AF38" s="1505"/>
      <c r="AG38" s="1787"/>
      <c r="AH38" s="1787"/>
      <c r="AI38" s="1506"/>
      <c r="AJ38" s="1505"/>
      <c r="AK38" s="1787"/>
      <c r="AL38" s="1787"/>
      <c r="AM38" s="1506"/>
    </row>
    <row r="39" spans="1:39" ht="33.75" customHeight="1">
      <c r="A39" s="102">
        <v>2</v>
      </c>
      <c r="B39" s="3256" t="s">
        <v>85</v>
      </c>
      <c r="C39" s="3369"/>
      <c r="D39" s="3369"/>
      <c r="E39" s="3257"/>
      <c r="F39" s="2865" t="s">
        <v>1641</v>
      </c>
      <c r="G39" s="262" t="str">
        <f>'XM.GUI MAIL'!$E$38</f>
        <v>30-50</v>
      </c>
      <c r="H39" s="2224" t="str">
        <f>'XM.GUI MAIL'!$F$38</f>
        <v>30-50</v>
      </c>
      <c r="I39" s="3373">
        <f>'XM.FILE GOC'!I38</f>
        <v>0</v>
      </c>
      <c r="J39" s="3373"/>
      <c r="K39" s="3373"/>
      <c r="L39" s="3373"/>
      <c r="M39" s="3296">
        <f>'XM.FILE GOC'!P38</f>
        <v>0</v>
      </c>
      <c r="N39" s="3373"/>
      <c r="O39" s="3373"/>
      <c r="P39" s="3373"/>
      <c r="Q39" s="3296">
        <f>'XM.FILE GOC'!W38</f>
        <v>0</v>
      </c>
      <c r="R39" s="3373"/>
      <c r="S39" s="3373"/>
      <c r="T39" s="3373"/>
      <c r="U39" s="102"/>
      <c r="W39" s="102">
        <v>2</v>
      </c>
      <c r="X39" s="3256" t="s">
        <v>85</v>
      </c>
      <c r="Y39" s="3369"/>
      <c r="Z39" s="3369"/>
      <c r="AA39" s="3257"/>
      <c r="AB39" s="1501"/>
      <c r="AC39" s="1784"/>
      <c r="AD39" s="1507"/>
      <c r="AE39" s="1784"/>
      <c r="AF39" s="1501"/>
      <c r="AG39" s="1784"/>
      <c r="AH39" s="1784"/>
      <c r="AI39" s="1507"/>
      <c r="AJ39" s="1501"/>
      <c r="AK39" s="1784"/>
      <c r="AL39" s="1784"/>
      <c r="AM39" s="1507"/>
    </row>
    <row r="40" spans="1:39" ht="18.75" customHeight="1">
      <c r="A40" s="16"/>
      <c r="B40" s="1357"/>
      <c r="C40" s="1357"/>
      <c r="D40" s="1357"/>
      <c r="E40" s="1357"/>
      <c r="F40" s="899"/>
      <c r="G40" s="899"/>
      <c r="H40" s="899"/>
      <c r="I40" s="899"/>
      <c r="J40" s="899"/>
      <c r="K40" s="899"/>
      <c r="L40" s="899"/>
      <c r="M40" s="899"/>
      <c r="N40" s="899"/>
      <c r="O40" s="899"/>
      <c r="P40" s="899"/>
      <c r="Q40" s="899"/>
      <c r="R40" s="899"/>
      <c r="S40" s="899"/>
      <c r="T40" s="899"/>
      <c r="U40" s="899"/>
      <c r="V40" s="899"/>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7" type="noConversion"/>
  <conditionalFormatting sqref="I38 M38 Q38">
    <cfRule type="expression" dxfId="2896" priority="1913">
      <formula>I38&lt;300</formula>
    </cfRule>
    <cfRule type="expression" dxfId="2895" priority="1914">
      <formula>I38&gt;360</formula>
    </cfRule>
  </conditionalFormatting>
  <conditionalFormatting sqref="I39 M39 Q39">
    <cfRule type="expression" dxfId="2894" priority="1911">
      <formula>I39&lt;30</formula>
    </cfRule>
    <cfRule type="expression" dxfId="2893" priority="1912">
      <formula>I39&gt;50</formula>
    </cfRule>
  </conditionalFormatting>
  <conditionalFormatting sqref="I16 M16 Q16">
    <cfRule type="cellIs" dxfId="2892" priority="400" operator="between">
      <formula>130</formula>
      <formula>132.99</formula>
    </cfRule>
    <cfRule type="cellIs" dxfId="2891" priority="401" operator="between">
      <formula>147.1</formula>
      <formula>150</formula>
    </cfRule>
    <cfRule type="expression" dxfId="2890" priority="402">
      <formula>I16&lt;130</formula>
    </cfRule>
    <cfRule type="expression" dxfId="2889" priority="403">
      <formula>I16&gt;150</formula>
    </cfRule>
  </conditionalFormatting>
  <conditionalFormatting sqref="I17 M17 Q17">
    <cfRule type="expression" dxfId="2888" priority="398">
      <formula>I17&lt;8</formula>
    </cfRule>
    <cfRule type="expression" dxfId="2887" priority="399">
      <formula>I17&gt;12</formula>
    </cfRule>
  </conditionalFormatting>
  <conditionalFormatting sqref="I21 M21 Q21">
    <cfRule type="cellIs" dxfId="2886" priority="391" operator="between">
      <formula>15%</formula>
      <formula>16.99%</formula>
    </cfRule>
    <cfRule type="cellIs" dxfId="2885" priority="392" operator="between">
      <formula>27.01%</formula>
      <formula>30%</formula>
    </cfRule>
    <cfRule type="expression" dxfId="2884" priority="393">
      <formula>I21&lt;15%</formula>
    </cfRule>
    <cfRule type="expression" dxfId="2883" priority="394">
      <formula>I21&gt;30%</formula>
    </cfRule>
  </conditionalFormatting>
  <conditionalFormatting sqref="I22 M22 Q22">
    <cfRule type="cellIs" dxfId="2882" priority="387" operator="between">
      <formula>5%</formula>
      <formula>6.99%</formula>
    </cfRule>
    <cfRule type="cellIs" dxfId="2881" priority="388" operator="between">
      <formula>12.99%</formula>
      <formula>15%</formula>
    </cfRule>
    <cfRule type="expression" dxfId="2880" priority="389">
      <formula>I22&lt;5%</formula>
    </cfRule>
    <cfRule type="expression" dxfId="2879" priority="390">
      <formula>I22&gt;15%</formula>
    </cfRule>
  </conditionalFormatting>
  <conditionalFormatting sqref="I6 I9 M6 M9 Q6 Q9">
    <cfRule type="cellIs" dxfId="2878" priority="383" operator="between">
      <formula>20</formula>
      <formula>24.99</formula>
    </cfRule>
    <cfRule type="cellIs" dxfId="2877" priority="384" operator="between">
      <formula>35.1</formula>
      <formula>40</formula>
    </cfRule>
    <cfRule type="expression" dxfId="2876" priority="385">
      <formula>I6&lt;20</formula>
    </cfRule>
    <cfRule type="expression" dxfId="2875" priority="386">
      <formula>I6&gt;40</formula>
    </cfRule>
  </conditionalFormatting>
  <conditionalFormatting sqref="I12 I14 M12 M14 Q12 Q14">
    <cfRule type="expression" dxfId="2874" priority="381" stopIfTrue="1">
      <formula>I12&gt;80</formula>
    </cfRule>
    <cfRule type="expression" dxfId="2873" priority="382" stopIfTrue="1">
      <formula>I12&lt;60</formula>
    </cfRule>
  </conditionalFormatting>
  <conditionalFormatting sqref="I20 M20 Q20">
    <cfRule type="cellIs" dxfId="2872" priority="377" operator="between">
      <formula>30%</formula>
      <formula>39.99%</formula>
    </cfRule>
    <cfRule type="cellIs" dxfId="2871" priority="378" operator="between">
      <formula>50.01%</formula>
      <formula>60%</formula>
    </cfRule>
    <cfRule type="expression" dxfId="2870" priority="379">
      <formula>I20&lt;30%</formula>
    </cfRule>
    <cfRule type="expression" dxfId="2869" priority="380">
      <formula>I20&gt;60%</formula>
    </cfRule>
  </conditionalFormatting>
  <conditionalFormatting sqref="I18 M18 Q18">
    <cfRule type="cellIs" dxfId="2868" priority="374" operator="between">
      <formula>16.1</formula>
      <formula>18</formula>
    </cfRule>
    <cfRule type="expression" dxfId="2867" priority="375">
      <formula>I18&lt;12</formula>
    </cfRule>
    <cfRule type="expression" dxfId="2866" priority="376">
      <formula>I18&gt;18</formula>
    </cfRule>
  </conditionalFormatting>
  <conditionalFormatting sqref="I32:T32">
    <cfRule type="cellIs" dxfId="2865" priority="298" operator="between">
      <formula>20</formula>
      <formula>25.9</formula>
    </cfRule>
    <cfRule type="cellIs" dxfId="2864" priority="299" operator="between">
      <formula>34.1</formula>
      <formula>35</formula>
    </cfRule>
    <cfRule type="expression" dxfId="2863" priority="300">
      <formula>I32&lt;20</formula>
    </cfRule>
    <cfRule type="expression" dxfId="2862" priority="301">
      <formula>I32&gt;35</formula>
    </cfRule>
  </conditionalFormatting>
  <conditionalFormatting sqref="I28:T29">
    <cfRule type="cellIs" dxfId="2861" priority="294" operator="between">
      <formula>50</formula>
      <formula>54.9</formula>
    </cfRule>
    <cfRule type="cellIs" dxfId="2860" priority="295" operator="between">
      <formula>65.1</formula>
      <formula>70</formula>
    </cfRule>
    <cfRule type="expression" dxfId="2859" priority="296">
      <formula>I28&lt;50</formula>
    </cfRule>
    <cfRule type="expression" dxfId="2858" priority="297">
      <formula>I28&gt;70</formula>
    </cfRule>
  </conditionalFormatting>
  <conditionalFormatting sqref="K33 I33 O33 M33 S33 Q33">
    <cfRule type="cellIs" dxfId="2857" priority="285" operator="between">
      <formula>30</formula>
      <formula>30.9</formula>
    </cfRule>
    <cfRule type="cellIs" dxfId="2856" priority="286" operator="between">
      <formula>37.1</formula>
      <formula>40</formula>
    </cfRule>
    <cfRule type="expression" dxfId="2855" priority="287">
      <formula>I33&lt;30</formula>
    </cfRule>
    <cfRule type="expression" dxfId="2854" priority="288">
      <formula>I33&gt;40</formula>
    </cfRule>
  </conditionalFormatting>
  <conditionalFormatting sqref="K35 O35 S35">
    <cfRule type="cellIs" dxfId="2853" priority="281" operator="between">
      <formula>80</formula>
      <formula>84.9</formula>
    </cfRule>
    <cfRule type="cellIs" dxfId="2852" priority="282" operator="between">
      <formula>95.1</formula>
      <formula>100</formula>
    </cfRule>
    <cfRule type="expression" dxfId="2851" priority="283">
      <formula>K35&lt;80</formula>
    </cfRule>
    <cfRule type="expression" dxfId="2850" priority="284">
      <formula>K35&gt;100</formula>
    </cfRule>
  </conditionalFormatting>
  <conditionalFormatting sqref="K34 I34 O34 M34 S34 Q34">
    <cfRule type="expression" dxfId="2849" priority="279">
      <formula>I34&lt;50</formula>
    </cfRule>
    <cfRule type="expression" dxfId="2848" priority="280">
      <formula>I34&gt;70</formula>
    </cfRule>
  </conditionalFormatting>
  <conditionalFormatting sqref="I24 M24 Q24">
    <cfRule type="cellIs" dxfId="2847" priority="148" operator="between">
      <formula>5</formula>
      <formula>6.49</formula>
    </cfRule>
    <cfRule type="cellIs" dxfId="2846" priority="149" operator="between">
      <formula>8.51</formula>
      <formula>10</formula>
    </cfRule>
    <cfRule type="expression" dxfId="2845" priority="150">
      <formula>I24&lt;5</formula>
    </cfRule>
    <cfRule type="expression" dxfId="2844" priority="151">
      <formula>I24&gt;10</formula>
    </cfRule>
  </conditionalFormatting>
  <conditionalFormatting sqref="I30:I31 K30:K31 M30:M31 O30:O31 Q30:Q31 S30:S31">
    <cfRule type="cellIs" dxfId="2843" priority="100" operator="between">
      <formula>40</formula>
      <formula>44.99</formula>
    </cfRule>
    <cfRule type="cellIs" dxfId="2842" priority="101" operator="between">
      <formula>55.1</formula>
      <formula>60</formula>
    </cfRule>
    <cfRule type="expression" dxfId="2841" priority="102">
      <formula>I30&lt;40</formula>
    </cfRule>
    <cfRule type="expression" dxfId="2840" priority="103">
      <formula>I30&gt;60</formula>
    </cfRule>
  </conditionalFormatting>
  <conditionalFormatting sqref="I25">
    <cfRule type="cellIs" dxfId="2839" priority="37" operator="between">
      <formula>2</formula>
      <formula>2.099</formula>
    </cfRule>
    <cfRule type="cellIs" dxfId="2838" priority="38" operator="between">
      <formula>2.31</formula>
      <formula>2.4</formula>
    </cfRule>
    <cfRule type="expression" dxfId="2837" priority="39">
      <formula>I25&lt;2</formula>
    </cfRule>
    <cfRule type="expression" dxfId="2836" priority="40">
      <formula>I25&gt;2.4</formula>
    </cfRule>
  </conditionalFormatting>
  <conditionalFormatting sqref="M25">
    <cfRule type="cellIs" dxfId="2835" priority="33" operator="between">
      <formula>2</formula>
      <formula>2.099</formula>
    </cfRule>
    <cfRule type="cellIs" dxfId="2834" priority="34" operator="between">
      <formula>2.31</formula>
      <formula>2.4</formula>
    </cfRule>
    <cfRule type="expression" dxfId="2833" priority="35">
      <formula>M25&lt;2</formula>
    </cfRule>
    <cfRule type="expression" dxfId="2832" priority="36">
      <formula>M25&gt;2.4</formula>
    </cfRule>
  </conditionalFormatting>
  <conditionalFormatting sqref="Q25">
    <cfRule type="cellIs" dxfId="2831" priority="29" operator="between">
      <formula>2</formula>
      <formula>2.099</formula>
    </cfRule>
    <cfRule type="cellIs" dxfId="2830" priority="30" operator="between">
      <formula>2.31</formula>
      <formula>2.4</formula>
    </cfRule>
    <cfRule type="expression" dxfId="2829" priority="31">
      <formula>Q25&lt;2</formula>
    </cfRule>
    <cfRule type="expression" dxfId="2828" priority="32">
      <formula>Q25&gt;2.4</formula>
    </cfRule>
  </conditionalFormatting>
  <conditionalFormatting sqref="I19">
    <cfRule type="cellIs" dxfId="2827" priority="25" operator="between">
      <formula>1.5</formula>
      <formula>1.599</formula>
    </cfRule>
    <cfRule type="cellIs" dxfId="2826" priority="26" operator="between">
      <formula>1.811</formula>
      <formula>1.9</formula>
    </cfRule>
    <cfRule type="expression" dxfId="2825" priority="27">
      <formula>I19&lt;1.5</formula>
    </cfRule>
    <cfRule type="expression" dxfId="2824" priority="28">
      <formula>I19&gt;1.9</formula>
    </cfRule>
  </conditionalFormatting>
  <conditionalFormatting sqref="M19">
    <cfRule type="cellIs" dxfId="2823" priority="21" operator="between">
      <formula>1.5</formula>
      <formula>1.599</formula>
    </cfRule>
    <cfRule type="cellIs" dxfId="2822" priority="22" operator="between">
      <formula>1.811</formula>
      <formula>1.9</formula>
    </cfRule>
    <cfRule type="expression" dxfId="2821" priority="23">
      <formula>M19&lt;1.5</formula>
    </cfRule>
    <cfRule type="expression" dxfId="2820" priority="24">
      <formula>M19&gt;1.9</formula>
    </cfRule>
  </conditionalFormatting>
  <conditionalFormatting sqref="Q19">
    <cfRule type="cellIs" dxfId="2819" priority="17" operator="between">
      <formula>1.5</formula>
      <formula>1.599</formula>
    </cfRule>
    <cfRule type="cellIs" dxfId="2818" priority="18" operator="between">
      <formula>1.811</formula>
      <formula>1.9</formula>
    </cfRule>
    <cfRule type="expression" dxfId="2817" priority="19">
      <formula>Q19&lt;1.5</formula>
    </cfRule>
    <cfRule type="expression" dxfId="2816" priority="20">
      <formula>Q19&gt;1.9</formula>
    </cfRule>
  </conditionalFormatting>
  <conditionalFormatting sqref="I23">
    <cfRule type="cellIs" dxfId="2815" priority="13" operator="between">
      <formula>0.5%</formula>
      <formula>0.599%</formula>
    </cfRule>
    <cfRule type="cellIs" dxfId="2814" priority="14" operator="between">
      <formula>0.81%</formula>
      <formula>1%</formula>
    </cfRule>
    <cfRule type="expression" dxfId="2813" priority="15">
      <formula>I23&lt;0.5%</formula>
    </cfRule>
    <cfRule type="expression" dxfId="2812" priority="16">
      <formula>I23&gt;1%</formula>
    </cfRule>
  </conditionalFormatting>
  <conditionalFormatting sqref="M23">
    <cfRule type="cellIs" dxfId="2811" priority="9" operator="between">
      <formula>0.5%</formula>
      <formula>0.599%</formula>
    </cfRule>
    <cfRule type="cellIs" dxfId="2810" priority="10" operator="between">
      <formula>0.81%</formula>
      <formula>1%</formula>
    </cfRule>
    <cfRule type="expression" dxfId="2809" priority="11">
      <formula>M23&lt;0.5%</formula>
    </cfRule>
    <cfRule type="expression" dxfId="2808" priority="12">
      <formula>M23&gt;1%</formula>
    </cfRule>
  </conditionalFormatting>
  <conditionalFormatting sqref="Q23">
    <cfRule type="cellIs" dxfId="2807" priority="5" operator="between">
      <formula>0.5%</formula>
      <formula>0.599%</formula>
    </cfRule>
    <cfRule type="cellIs" dxfId="2806" priority="6" operator="between">
      <formula>0.81%</formula>
      <formula>1%</formula>
    </cfRule>
    <cfRule type="expression" dxfId="2805" priority="7">
      <formula>Q23&lt;0.5%</formula>
    </cfRule>
    <cfRule type="expression" dxfId="2804" priority="8">
      <formula>Q23&gt;1%</formula>
    </cfRule>
  </conditionalFormatting>
  <conditionalFormatting sqref="Q23">
    <cfRule type="cellIs" dxfId="2803" priority="1" operator="between">
      <formula>0.5%</formula>
      <formula>0.599%</formula>
    </cfRule>
    <cfRule type="cellIs" dxfId="2802" priority="2" operator="between">
      <formula>0.81%</formula>
      <formula>1%</formula>
    </cfRule>
    <cfRule type="expression" dxfId="2801" priority="3">
      <formula>Q23&lt;0.5%</formula>
    </cfRule>
    <cfRule type="expression" dxfId="2800" priority="4">
      <formula>Q23&gt;1%</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9.xml><?xml version="1.0" encoding="utf-8"?>
<worksheet xmlns="http://schemas.openxmlformats.org/spreadsheetml/2006/main" xmlns:r="http://schemas.openxmlformats.org/officeDocument/2006/relationships">
  <sheetPr codeName="Sheet9">
    <tabColor rgb="FFFF0000"/>
  </sheetPr>
  <dimension ref="A1:AM38"/>
  <sheetViews>
    <sheetView zoomScale="55" zoomScaleNormal="55" zoomScaleSheetLayoutView="55" workbookViewId="0">
      <selection activeCell="AD16" sqref="AD16"/>
    </sheetView>
  </sheetViews>
  <sheetFormatPr defaultRowHeight="15"/>
  <cols>
    <col min="1" max="1" width="4.125" style="19" customWidth="1"/>
    <col min="2" max="2" width="7.5" style="31" customWidth="1"/>
    <col min="3" max="3" width="5" style="31" customWidth="1"/>
    <col min="4" max="4" width="2.875" style="31" customWidth="1"/>
    <col min="5" max="5" width="7.75" style="31" customWidth="1"/>
    <col min="6" max="6" width="8" style="19" customWidth="1"/>
    <col min="7" max="7" width="16.25" style="32" customWidth="1"/>
    <col min="8" max="8" width="10.25" style="32"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406" t="s">
        <v>564</v>
      </c>
      <c r="B1" s="3406"/>
      <c r="C1" s="3406"/>
      <c r="D1" s="3406"/>
      <c r="E1" s="3406"/>
      <c r="F1" s="3406"/>
      <c r="G1" s="3406"/>
      <c r="H1" s="3406"/>
      <c r="I1" s="3406"/>
      <c r="J1" s="3406"/>
      <c r="K1" s="3406"/>
      <c r="L1" s="3406"/>
      <c r="M1" s="3406"/>
      <c r="N1" s="3406"/>
      <c r="O1" s="3406"/>
      <c r="P1" s="3406"/>
      <c r="Q1" s="3406"/>
      <c r="R1" s="3406"/>
      <c r="S1" s="1009"/>
      <c r="T1" s="1009"/>
      <c r="U1" s="1450" t="s">
        <v>1346</v>
      </c>
      <c r="W1" s="1454"/>
      <c r="X1" s="1454"/>
      <c r="Y1" s="1454"/>
      <c r="Z1" s="1454"/>
      <c r="AA1" s="1454"/>
      <c r="AB1" s="1454"/>
      <c r="AC1" s="1454"/>
      <c r="AD1" s="1454"/>
      <c r="AE1" s="1454"/>
      <c r="AM1" s="1451" t="s">
        <v>1347</v>
      </c>
    </row>
    <row r="2" spans="1:39" ht="46.5" customHeight="1">
      <c r="A2" s="3389" t="s">
        <v>217</v>
      </c>
      <c r="B2" s="3389"/>
      <c r="C2" s="3389"/>
      <c r="D2" s="3389"/>
      <c r="E2" s="3389"/>
      <c r="F2" s="3389"/>
      <c r="G2" s="3389"/>
      <c r="H2" s="3389"/>
      <c r="I2" s="3389"/>
      <c r="J2" s="3389"/>
      <c r="K2" s="3389"/>
      <c r="L2" s="3389"/>
      <c r="M2" s="3389"/>
      <c r="N2" s="3389"/>
      <c r="O2" s="3389"/>
      <c r="P2" s="3389"/>
      <c r="Q2" s="3389"/>
      <c r="R2" s="3390"/>
      <c r="S2" s="3366" t="s">
        <v>87</v>
      </c>
      <c r="T2" s="3200"/>
      <c r="U2" s="1443" t="s">
        <v>1341</v>
      </c>
      <c r="W2" s="3389"/>
      <c r="X2" s="3389"/>
      <c r="Y2" s="3389"/>
      <c r="Z2" s="3389"/>
      <c r="AA2" s="3389"/>
      <c r="AB2" s="3389"/>
      <c r="AC2" s="3389"/>
      <c r="AD2" s="3389"/>
      <c r="AE2" s="3389"/>
      <c r="AF2" s="3389"/>
      <c r="AG2" s="1783"/>
      <c r="AH2" s="1783"/>
    </row>
    <row r="3" spans="1:39" ht="34.5" customHeight="1">
      <c r="A3" s="50"/>
      <c r="B3" s="3413" t="s">
        <v>213</v>
      </c>
      <c r="C3" s="3413"/>
      <c r="D3" s="3413"/>
      <c r="E3" s="1396"/>
      <c r="F3" s="2681" t="s">
        <v>1594</v>
      </c>
      <c r="G3" s="1812" t="str">
        <f>MENU!$AC$9</f>
        <v>Thứ 5,</v>
      </c>
      <c r="H3" s="3400" t="str">
        <f>MENU!$AD$9</f>
        <v>2024/08/01</v>
      </c>
      <c r="I3" s="3400"/>
      <c r="J3" s="25"/>
      <c r="K3" s="25"/>
      <c r="L3" s="25"/>
      <c r="M3" s="48"/>
      <c r="N3" s="48"/>
      <c r="O3" s="48"/>
      <c r="R3" s="48"/>
      <c r="S3" s="3414" t="str">
        <f>'1. XL-1E kh'!$AD$3</f>
        <v>L.Yen</v>
      </c>
      <c r="T3" s="3415"/>
      <c r="U3" s="1428"/>
      <c r="W3" s="50"/>
      <c r="X3" s="3413" t="s">
        <v>213</v>
      </c>
      <c r="Y3" s="3413"/>
      <c r="Z3" s="3413"/>
      <c r="AA3" s="1396"/>
      <c r="AB3" s="1812" t="str">
        <f>MENU!$AC$9</f>
        <v>Thứ 5,</v>
      </c>
      <c r="AC3" s="3400" t="str">
        <f>MENU!$AD$9</f>
        <v>2024/08/01</v>
      </c>
      <c r="AD3" s="3400"/>
      <c r="AE3" s="1509"/>
      <c r="AF3" s="25"/>
      <c r="AG3" s="451"/>
      <c r="AH3" s="451"/>
    </row>
    <row r="4" spans="1:39" s="51" customFormat="1" ht="31.5" customHeight="1">
      <c r="A4" s="3396" t="s">
        <v>7</v>
      </c>
      <c r="B4" s="3143" t="s">
        <v>75</v>
      </c>
      <c r="C4" s="3144"/>
      <c r="D4" s="3144"/>
      <c r="E4" s="3145"/>
      <c r="F4" s="3395" t="s">
        <v>123</v>
      </c>
      <c r="G4" s="3180" t="s">
        <v>1296</v>
      </c>
      <c r="H4" s="3185" t="s">
        <v>1289</v>
      </c>
      <c r="I4" s="3201">
        <v>0.30208333333333331</v>
      </c>
      <c r="J4" s="3199"/>
      <c r="K4" s="3199"/>
      <c r="L4" s="3200"/>
      <c r="M4" s="3198">
        <v>0.46875</v>
      </c>
      <c r="N4" s="3199"/>
      <c r="O4" s="3199"/>
      <c r="P4" s="3200"/>
      <c r="Q4" s="3198">
        <v>0.63541666666666663</v>
      </c>
      <c r="R4" s="3199"/>
      <c r="S4" s="3199"/>
      <c r="T4" s="3200"/>
      <c r="U4" s="3216" t="s">
        <v>89</v>
      </c>
      <c r="W4" s="3396" t="s">
        <v>7</v>
      </c>
      <c r="X4" s="3143" t="s">
        <v>75</v>
      </c>
      <c r="Y4" s="3144"/>
      <c r="Z4" s="3144"/>
      <c r="AA4" s="3145"/>
      <c r="AB4" s="3198">
        <v>0.30208333333333331</v>
      </c>
      <c r="AC4" s="3201"/>
      <c r="AD4" s="3201"/>
      <c r="AE4" s="3365"/>
      <c r="AF4" s="3198">
        <v>0.46875</v>
      </c>
      <c r="AG4" s="3201"/>
      <c r="AH4" s="3201"/>
      <c r="AI4" s="3365"/>
      <c r="AJ4" s="3198">
        <v>0.63541666666666663</v>
      </c>
      <c r="AK4" s="3201"/>
      <c r="AL4" s="3201"/>
      <c r="AM4" s="3365"/>
    </row>
    <row r="5" spans="1:39" s="51" customFormat="1" ht="30" customHeight="1">
      <c r="A5" s="3396"/>
      <c r="B5" s="3146"/>
      <c r="C5" s="3147"/>
      <c r="D5" s="3147"/>
      <c r="E5" s="3148"/>
      <c r="F5" s="3396"/>
      <c r="G5" s="3181"/>
      <c r="H5" s="3186"/>
      <c r="I5" s="2220" t="s">
        <v>128</v>
      </c>
      <c r="J5" s="3170" t="s">
        <v>1</v>
      </c>
      <c r="K5" s="3171"/>
      <c r="L5" s="3172"/>
      <c r="M5" s="52" t="s">
        <v>128</v>
      </c>
      <c r="N5" s="3170" t="s">
        <v>1</v>
      </c>
      <c r="O5" s="3171"/>
      <c r="P5" s="3172"/>
      <c r="Q5" s="52" t="s">
        <v>128</v>
      </c>
      <c r="R5" s="3170" t="s">
        <v>1</v>
      </c>
      <c r="S5" s="3171"/>
      <c r="T5" s="3172"/>
      <c r="U5" s="3217"/>
      <c r="W5" s="3396"/>
      <c r="X5" s="3146"/>
      <c r="Y5" s="3147"/>
      <c r="Z5" s="3147"/>
      <c r="AA5" s="3148"/>
      <c r="AB5" s="3256" t="s">
        <v>1433</v>
      </c>
      <c r="AC5" s="3368"/>
      <c r="AD5" s="3367" t="s">
        <v>1466</v>
      </c>
      <c r="AE5" s="3200"/>
      <c r="AF5" s="3256" t="s">
        <v>1433</v>
      </c>
      <c r="AG5" s="3368"/>
      <c r="AH5" s="3367" t="s">
        <v>1466</v>
      </c>
      <c r="AI5" s="3200"/>
      <c r="AJ5" s="3256" t="s">
        <v>1433</v>
      </c>
      <c r="AK5" s="3368"/>
      <c r="AL5" s="3367" t="s">
        <v>1466</v>
      </c>
      <c r="AM5" s="3200"/>
    </row>
    <row r="6" spans="1:39" ht="33" customHeight="1">
      <c r="A6" s="3374">
        <v>1</v>
      </c>
      <c r="B6" s="3143" t="s">
        <v>130</v>
      </c>
      <c r="C6" s="3379"/>
      <c r="D6" s="3384" t="s">
        <v>229</v>
      </c>
      <c r="E6" s="3385"/>
      <c r="F6" s="1035" t="s">
        <v>4</v>
      </c>
      <c r="G6" s="897" t="str">
        <f>'XM.GUI MAIL'!$E$43</f>
        <v>60~80</v>
      </c>
      <c r="H6" s="2202" t="str">
        <f>'XM.GUI MAIL'!$F$43</f>
        <v>(70±5)</v>
      </c>
      <c r="I6" s="2205">
        <f>'XM.GUI MAIL'!I43</f>
        <v>71.39</v>
      </c>
      <c r="J6" s="1402" t="s">
        <v>8</v>
      </c>
      <c r="K6" s="1341">
        <f>'XM.GUI MAIL'!L43</f>
        <v>0</v>
      </c>
      <c r="L6" s="1402" t="s">
        <v>9</v>
      </c>
      <c r="M6" s="1398">
        <f>'XM.GUI MAIL'!P43</f>
        <v>72.688000000000002</v>
      </c>
      <c r="N6" s="1402" t="s">
        <v>8</v>
      </c>
      <c r="O6" s="1341">
        <f>'XM.GUI MAIL'!S43</f>
        <v>0</v>
      </c>
      <c r="P6" s="1402" t="s">
        <v>9</v>
      </c>
      <c r="Q6" s="1398">
        <f>'XM.GUI MAIL'!W43</f>
        <v>72.363500000000002</v>
      </c>
      <c r="R6" s="1402" t="s">
        <v>8</v>
      </c>
      <c r="S6" s="1341">
        <f>'XM.GUI MAIL'!Z43</f>
        <v>0</v>
      </c>
      <c r="T6" s="56" t="s">
        <v>9</v>
      </c>
      <c r="U6" s="270" t="s">
        <v>12</v>
      </c>
      <c r="W6" s="3374">
        <v>1</v>
      </c>
      <c r="X6" s="3143" t="s">
        <v>130</v>
      </c>
      <c r="Y6" s="3379"/>
      <c r="Z6" s="3384" t="s">
        <v>229</v>
      </c>
      <c r="AA6" s="3385"/>
      <c r="AB6" s="2018"/>
      <c r="AC6" s="1799" t="s">
        <v>9</v>
      </c>
      <c r="AD6" s="1791"/>
      <c r="AE6" s="1746" t="s">
        <v>4</v>
      </c>
      <c r="AF6" s="2018"/>
      <c r="AG6" s="1799" t="s">
        <v>9</v>
      </c>
      <c r="AH6" s="1791"/>
      <c r="AI6" s="1746" t="s">
        <v>4</v>
      </c>
      <c r="AJ6" s="2018"/>
      <c r="AK6" s="1799" t="s">
        <v>9</v>
      </c>
      <c r="AL6" s="1791"/>
      <c r="AM6" s="1746" t="s">
        <v>4</v>
      </c>
    </row>
    <row r="7" spans="1:39" ht="33" customHeight="1">
      <c r="A7" s="3409"/>
      <c r="B7" s="3380"/>
      <c r="C7" s="3381"/>
      <c r="D7" s="3384" t="s">
        <v>230</v>
      </c>
      <c r="E7" s="3385"/>
      <c r="F7" s="1010"/>
      <c r="G7" s="897" t="s">
        <v>977</v>
      </c>
      <c r="H7" s="2202"/>
      <c r="I7" s="2191"/>
      <c r="J7" s="1402"/>
      <c r="K7" s="78">
        <f>K6/25*7.5</f>
        <v>0</v>
      </c>
      <c r="L7" s="1402" t="s">
        <v>10</v>
      </c>
      <c r="M7" s="1676"/>
      <c r="N7" s="1402"/>
      <c r="O7" s="78">
        <f>O6/25*7.5</f>
        <v>0</v>
      </c>
      <c r="P7" s="1402" t="s">
        <v>10</v>
      </c>
      <c r="Q7" s="1676"/>
      <c r="R7" s="1402"/>
      <c r="S7" s="78">
        <f>S6/25*7.5</f>
        <v>0</v>
      </c>
      <c r="T7" s="56" t="s">
        <v>10</v>
      </c>
      <c r="U7" s="20"/>
      <c r="W7" s="3409"/>
      <c r="X7" s="3380"/>
      <c r="Y7" s="3381"/>
      <c r="Z7" s="3384" t="s">
        <v>230</v>
      </c>
      <c r="AA7" s="3385"/>
      <c r="AB7" s="2018"/>
      <c r="AC7" s="1799" t="s">
        <v>10</v>
      </c>
      <c r="AD7" s="1791"/>
      <c r="AE7" s="1800"/>
      <c r="AF7" s="2018"/>
      <c r="AG7" s="1799" t="s">
        <v>10</v>
      </c>
      <c r="AH7" s="1791"/>
      <c r="AI7" s="1800"/>
      <c r="AJ7" s="2018"/>
      <c r="AK7" s="1799" t="s">
        <v>10</v>
      </c>
      <c r="AL7" s="1791"/>
      <c r="AM7" s="1800"/>
    </row>
    <row r="8" spans="1:39" ht="33" customHeight="1">
      <c r="A8" s="3374">
        <v>2</v>
      </c>
      <c r="B8" s="3143" t="s">
        <v>131</v>
      </c>
      <c r="C8" s="3379"/>
      <c r="D8" s="3384" t="s">
        <v>229</v>
      </c>
      <c r="E8" s="3385"/>
      <c r="F8" s="1035" t="s">
        <v>4</v>
      </c>
      <c r="G8" s="897" t="str">
        <f>'XM.GUI MAIL'!$E$45</f>
        <v>60~80</v>
      </c>
      <c r="H8" s="2202" t="str">
        <f>'XM.GUI MAIL'!$F$45</f>
        <v>(70±5)</v>
      </c>
      <c r="I8" s="2205">
        <f>'XM.GUI MAIL'!I45</f>
        <v>72.039000000000001</v>
      </c>
      <c r="J8" s="1402" t="s">
        <v>8</v>
      </c>
      <c r="K8" s="1341">
        <f>'XM.GUI MAIL'!L45</f>
        <v>0</v>
      </c>
      <c r="L8" s="1402" t="s">
        <v>9</v>
      </c>
      <c r="M8" s="1398">
        <f>'XM.GUI MAIL'!P45</f>
        <v>74.959500000000006</v>
      </c>
      <c r="N8" s="1402" t="s">
        <v>8</v>
      </c>
      <c r="O8" s="1341">
        <f>'XM.GUI MAIL'!S45</f>
        <v>0</v>
      </c>
      <c r="P8" s="1402" t="s">
        <v>9</v>
      </c>
      <c r="Q8" s="1398">
        <f>'XM.GUI MAIL'!W45</f>
        <v>74.635000000000005</v>
      </c>
      <c r="R8" s="1402" t="s">
        <v>8</v>
      </c>
      <c r="S8" s="1341">
        <f>'XM.GUI MAIL'!Z45</f>
        <v>0</v>
      </c>
      <c r="T8" s="56" t="s">
        <v>9</v>
      </c>
      <c r="U8" s="270" t="s">
        <v>12</v>
      </c>
      <c r="W8" s="3374">
        <v>2</v>
      </c>
      <c r="X8" s="3143" t="s">
        <v>131</v>
      </c>
      <c r="Y8" s="3379"/>
      <c r="Z8" s="3384" t="s">
        <v>229</v>
      </c>
      <c r="AA8" s="3385"/>
      <c r="AB8" s="2018"/>
      <c r="AC8" s="1799" t="s">
        <v>9</v>
      </c>
      <c r="AD8" s="1791"/>
      <c r="AE8" s="1746" t="s">
        <v>4</v>
      </c>
      <c r="AF8" s="2018"/>
      <c r="AG8" s="1799" t="s">
        <v>9</v>
      </c>
      <c r="AH8" s="1791"/>
      <c r="AI8" s="1746" t="s">
        <v>4</v>
      </c>
      <c r="AJ8" s="2018"/>
      <c r="AK8" s="1799" t="s">
        <v>9</v>
      </c>
      <c r="AL8" s="1791"/>
      <c r="AM8" s="1746" t="s">
        <v>4</v>
      </c>
    </row>
    <row r="9" spans="1:39" ht="33" customHeight="1">
      <c r="A9" s="3409"/>
      <c r="B9" s="3380"/>
      <c r="C9" s="3381"/>
      <c r="D9" s="3384" t="s">
        <v>230</v>
      </c>
      <c r="E9" s="3385"/>
      <c r="F9" s="1010"/>
      <c r="G9" s="897" t="s">
        <v>977</v>
      </c>
      <c r="H9" s="2202"/>
      <c r="I9" s="2191"/>
      <c r="J9" s="1402"/>
      <c r="K9" s="78">
        <f>K8/25*7.5</f>
        <v>0</v>
      </c>
      <c r="L9" s="1402" t="s">
        <v>10</v>
      </c>
      <c r="M9" s="1676"/>
      <c r="N9" s="1402"/>
      <c r="O9" s="78">
        <f>O8/25*7.5</f>
        <v>0</v>
      </c>
      <c r="P9" s="1402" t="s">
        <v>10</v>
      </c>
      <c r="Q9" s="1676"/>
      <c r="R9" s="1402"/>
      <c r="S9" s="78">
        <f>S8/25*7.5</f>
        <v>0</v>
      </c>
      <c r="T9" s="56" t="s">
        <v>10</v>
      </c>
      <c r="U9" s="20"/>
      <c r="W9" s="3409"/>
      <c r="X9" s="3380"/>
      <c r="Y9" s="3381"/>
      <c r="Z9" s="3384" t="s">
        <v>230</v>
      </c>
      <c r="AA9" s="3385"/>
      <c r="AB9" s="2018"/>
      <c r="AC9" s="1799" t="s">
        <v>10</v>
      </c>
      <c r="AD9" s="1791"/>
      <c r="AE9" s="1800"/>
      <c r="AF9" s="2018"/>
      <c r="AG9" s="1799" t="s">
        <v>10</v>
      </c>
      <c r="AH9" s="1791"/>
      <c r="AI9" s="1800"/>
      <c r="AJ9" s="2018"/>
      <c r="AK9" s="1799" t="s">
        <v>10</v>
      </c>
      <c r="AL9" s="1791"/>
      <c r="AM9" s="1800"/>
    </row>
    <row r="10" spans="1:39" ht="33" customHeight="1">
      <c r="A10" s="3374">
        <v>3</v>
      </c>
      <c r="B10" s="3386" t="s">
        <v>132</v>
      </c>
      <c r="C10" s="3387"/>
      <c r="D10" s="3256" t="s">
        <v>231</v>
      </c>
      <c r="E10" s="3257" t="s">
        <v>231</v>
      </c>
      <c r="F10" s="1035" t="s">
        <v>4</v>
      </c>
      <c r="G10" s="897" t="str">
        <f>'XM.GUI MAIL'!$E$47</f>
        <v>50~70</v>
      </c>
      <c r="H10" s="2202" t="str">
        <f>'XM.GUI MAIL'!$F$47</f>
        <v>(60±10)</v>
      </c>
      <c r="I10" s="2205">
        <f>'XM.GUI MAIL'!I47</f>
        <v>55.208999999999996</v>
      </c>
      <c r="J10" s="1402" t="s">
        <v>8</v>
      </c>
      <c r="K10" s="1341">
        <f>'XM.GUI MAIL'!L47</f>
        <v>5.5383960000000041</v>
      </c>
      <c r="L10" s="1402" t="s">
        <v>9</v>
      </c>
      <c r="M10" s="1398">
        <f>'XM.GUI MAIL'!P47</f>
        <v>60.06</v>
      </c>
      <c r="N10" s="1402" t="s">
        <v>8</v>
      </c>
      <c r="O10" s="1341">
        <f>'XM.GUI MAIL'!S47</f>
        <v>0</v>
      </c>
      <c r="P10" s="1402" t="s">
        <v>9</v>
      </c>
      <c r="Q10" s="1398">
        <f>'XM.GUI MAIL'!W47</f>
        <v>61.446000000000005</v>
      </c>
      <c r="R10" s="1402" t="s">
        <v>8</v>
      </c>
      <c r="S10" s="1341">
        <f>'XM.GUI MAIL'!Z47</f>
        <v>0</v>
      </c>
      <c r="T10" s="56" t="s">
        <v>9</v>
      </c>
      <c r="U10" s="270" t="s">
        <v>12</v>
      </c>
      <c r="W10" s="3374">
        <v>3</v>
      </c>
      <c r="X10" s="3386" t="s">
        <v>132</v>
      </c>
      <c r="Y10" s="3387"/>
      <c r="Z10" s="3256" t="s">
        <v>231</v>
      </c>
      <c r="AA10" s="3257" t="s">
        <v>231</v>
      </c>
      <c r="AB10" s="2018" t="s">
        <v>1680</v>
      </c>
      <c r="AC10" s="1799" t="s">
        <v>9</v>
      </c>
      <c r="AD10" s="2903">
        <f>M10</f>
        <v>60.06</v>
      </c>
      <c r="AE10" s="1746" t="s">
        <v>4</v>
      </c>
      <c r="AF10" s="2018"/>
      <c r="AG10" s="1799" t="s">
        <v>9</v>
      </c>
      <c r="AH10" s="1791"/>
      <c r="AI10" s="1746" t="s">
        <v>4</v>
      </c>
      <c r="AJ10" s="2018"/>
      <c r="AK10" s="1799" t="s">
        <v>9</v>
      </c>
      <c r="AL10" s="1791"/>
      <c r="AM10" s="1746" t="s">
        <v>4</v>
      </c>
    </row>
    <row r="11" spans="1:39" ht="33" customHeight="1">
      <c r="A11" s="3375"/>
      <c r="B11" s="3387"/>
      <c r="C11" s="3387"/>
      <c r="D11" s="3256" t="s">
        <v>232</v>
      </c>
      <c r="E11" s="3257" t="s">
        <v>232</v>
      </c>
      <c r="F11" s="1010"/>
      <c r="G11" s="897" t="s">
        <v>978</v>
      </c>
      <c r="H11" s="2202"/>
      <c r="I11" s="2191"/>
      <c r="J11" s="1402"/>
      <c r="K11" s="78">
        <f>K10/25*7</f>
        <v>1.5507508800000012</v>
      </c>
      <c r="L11" s="1402" t="s">
        <v>10</v>
      </c>
      <c r="M11" s="1676"/>
      <c r="N11" s="1402"/>
      <c r="O11" s="78">
        <f>O10/25*7</f>
        <v>0</v>
      </c>
      <c r="P11" s="1402" t="s">
        <v>10</v>
      </c>
      <c r="Q11" s="1676"/>
      <c r="R11" s="1402"/>
      <c r="S11" s="78">
        <f>S10/25*7</f>
        <v>0</v>
      </c>
      <c r="T11" s="56" t="s">
        <v>10</v>
      </c>
      <c r="U11" s="20"/>
      <c r="W11" s="3375"/>
      <c r="X11" s="3387"/>
      <c r="Y11" s="3387"/>
      <c r="Z11" s="3256" t="s">
        <v>232</v>
      </c>
      <c r="AA11" s="3257" t="s">
        <v>232</v>
      </c>
      <c r="AB11" s="2018"/>
      <c r="AC11" s="1799" t="s">
        <v>10</v>
      </c>
      <c r="AD11" s="1791"/>
      <c r="AE11" s="1800"/>
      <c r="AF11" s="2018"/>
      <c r="AG11" s="1799" t="s">
        <v>10</v>
      </c>
      <c r="AH11" s="1791"/>
      <c r="AI11" s="1800"/>
      <c r="AJ11" s="2018"/>
      <c r="AK11" s="1799" t="s">
        <v>10</v>
      </c>
      <c r="AL11" s="1791"/>
      <c r="AM11" s="1800"/>
    </row>
    <row r="12" spans="1:39" ht="33" customHeight="1">
      <c r="A12" s="3374">
        <v>4</v>
      </c>
      <c r="B12" s="3386" t="s">
        <v>133</v>
      </c>
      <c r="C12" s="3387"/>
      <c r="D12" s="3256" t="s">
        <v>231</v>
      </c>
      <c r="E12" s="3257" t="s">
        <v>231</v>
      </c>
      <c r="F12" s="1035" t="s">
        <v>4</v>
      </c>
      <c r="G12" s="897" t="str">
        <f>'XM.GUI MAIL'!$E$49</f>
        <v>50~70</v>
      </c>
      <c r="H12" s="2202" t="str">
        <f>'XM.GUI MAIL'!$F$49</f>
        <v>(60±10)</v>
      </c>
      <c r="I12" s="2205">
        <f>'XM.GUI MAIL'!I49</f>
        <v>58.673999999999999</v>
      </c>
      <c r="J12" s="1402" t="s">
        <v>8</v>
      </c>
      <c r="K12" s="1341">
        <f>'XM.GUI MAIL'!L49</f>
        <v>1.9346340000000006</v>
      </c>
      <c r="L12" s="1402" t="s">
        <v>9</v>
      </c>
      <c r="M12" s="1398">
        <f>'XM.GUI MAIL'!P49</f>
        <v>62.601000000000006</v>
      </c>
      <c r="N12" s="1402" t="s">
        <v>8</v>
      </c>
      <c r="O12" s="1341">
        <f>'XM.GUI MAIL'!S49</f>
        <v>0</v>
      </c>
      <c r="P12" s="1402" t="s">
        <v>9</v>
      </c>
      <c r="Q12" s="1398">
        <f>'XM.GUI MAIL'!W49</f>
        <v>61.446000000000005</v>
      </c>
      <c r="R12" s="1402" t="s">
        <v>8</v>
      </c>
      <c r="S12" s="1341">
        <f>'XM.GUI MAIL'!Z49</f>
        <v>0</v>
      </c>
      <c r="T12" s="56" t="s">
        <v>9</v>
      </c>
      <c r="U12" s="270" t="s">
        <v>12</v>
      </c>
      <c r="W12" s="3374">
        <v>4</v>
      </c>
      <c r="X12" s="3386" t="s">
        <v>133</v>
      </c>
      <c r="Y12" s="3387"/>
      <c r="Z12" s="3256" t="s">
        <v>231</v>
      </c>
      <c r="AA12" s="3257" t="s">
        <v>231</v>
      </c>
      <c r="AB12" s="2018" t="s">
        <v>1680</v>
      </c>
      <c r="AC12" s="1799" t="s">
        <v>9</v>
      </c>
      <c r="AD12" s="2903">
        <f>M12</f>
        <v>62.601000000000006</v>
      </c>
      <c r="AE12" s="1746" t="s">
        <v>4</v>
      </c>
      <c r="AF12" s="2018"/>
      <c r="AG12" s="1799" t="s">
        <v>9</v>
      </c>
      <c r="AH12" s="1791"/>
      <c r="AI12" s="1746" t="s">
        <v>4</v>
      </c>
      <c r="AJ12" s="2018"/>
      <c r="AK12" s="1799" t="s">
        <v>9</v>
      </c>
      <c r="AL12" s="1791"/>
      <c r="AM12" s="1746" t="s">
        <v>4</v>
      </c>
    </row>
    <row r="13" spans="1:39" ht="33" customHeight="1">
      <c r="A13" s="3375"/>
      <c r="B13" s="3387"/>
      <c r="C13" s="3387"/>
      <c r="D13" s="3256" t="s">
        <v>232</v>
      </c>
      <c r="E13" s="3257" t="s">
        <v>232</v>
      </c>
      <c r="F13" s="1010"/>
      <c r="G13" s="897" t="s">
        <v>978</v>
      </c>
      <c r="H13" s="2202"/>
      <c r="I13" s="2191"/>
      <c r="J13" s="1402"/>
      <c r="K13" s="78">
        <f>K12/25*7</f>
        <v>0.54169752000000015</v>
      </c>
      <c r="L13" s="1402" t="s">
        <v>10</v>
      </c>
      <c r="M13" s="1676"/>
      <c r="N13" s="1402"/>
      <c r="O13" s="78">
        <f>O12/25*7</f>
        <v>0</v>
      </c>
      <c r="P13" s="1402" t="s">
        <v>10</v>
      </c>
      <c r="Q13" s="1676"/>
      <c r="R13" s="1402"/>
      <c r="S13" s="78">
        <f>S12/25*7</f>
        <v>0</v>
      </c>
      <c r="T13" s="56" t="s">
        <v>10</v>
      </c>
      <c r="U13" s="20"/>
      <c r="W13" s="3375"/>
      <c r="X13" s="3387"/>
      <c r="Y13" s="3387"/>
      <c r="Z13" s="3256" t="s">
        <v>232</v>
      </c>
      <c r="AA13" s="3257" t="s">
        <v>232</v>
      </c>
      <c r="AB13" s="2018"/>
      <c r="AC13" s="1799" t="s">
        <v>10</v>
      </c>
      <c r="AD13" s="1791"/>
      <c r="AE13" s="1800"/>
      <c r="AF13" s="2018"/>
      <c r="AG13" s="1799" t="s">
        <v>10</v>
      </c>
      <c r="AH13" s="1791"/>
      <c r="AI13" s="1800"/>
      <c r="AJ13" s="2018"/>
      <c r="AK13" s="1799" t="s">
        <v>10</v>
      </c>
      <c r="AL13" s="1791"/>
      <c r="AM13" s="1800"/>
    </row>
    <row r="14" spans="1:39" ht="33" customHeight="1">
      <c r="A14" s="1035">
        <v>5</v>
      </c>
      <c r="B14" s="3256" t="s">
        <v>78</v>
      </c>
      <c r="C14" s="3369"/>
      <c r="D14" s="3369"/>
      <c r="E14" s="3257"/>
      <c r="F14" s="1035" t="s">
        <v>4</v>
      </c>
      <c r="G14" s="1005" t="str">
        <f>'XM.GUI MAIL'!$E$51</f>
        <v>130 - 150</v>
      </c>
      <c r="H14" s="2206" t="str">
        <f>'XM.GUI MAIL'!$F$51</f>
        <v>(140±7)</v>
      </c>
      <c r="I14" s="2194">
        <f>'XM.GUI MAIL'!I51</f>
        <v>144.80000000000001</v>
      </c>
      <c r="J14" s="1402" t="s">
        <v>8</v>
      </c>
      <c r="K14" s="1341">
        <f>'XM.GUI MAIL'!L51</f>
        <v>0</v>
      </c>
      <c r="L14" s="1402" t="s">
        <v>9</v>
      </c>
      <c r="M14" s="1755">
        <f>'XM.GUI MAIL'!P51</f>
        <v>144.80000000000001</v>
      </c>
      <c r="N14" s="1402" t="s">
        <v>8</v>
      </c>
      <c r="O14" s="1341">
        <f>'XM.GUI MAIL'!S51</f>
        <v>0</v>
      </c>
      <c r="P14" s="1402" t="s">
        <v>9</v>
      </c>
      <c r="Q14" s="1755">
        <f>'XM.GUI MAIL'!W51</f>
        <v>143.19999999999999</v>
      </c>
      <c r="R14" s="1402" t="s">
        <v>8</v>
      </c>
      <c r="S14" s="1341">
        <f>'XM.GUI MAIL'!Z51</f>
        <v>0</v>
      </c>
      <c r="T14" s="56" t="s">
        <v>9</v>
      </c>
      <c r="U14" s="270" t="s">
        <v>13</v>
      </c>
      <c r="W14" s="1439">
        <v>5</v>
      </c>
      <c r="X14" s="3256" t="s">
        <v>78</v>
      </c>
      <c r="Y14" s="3369"/>
      <c r="Z14" s="3369"/>
      <c r="AA14" s="3257"/>
      <c r="AB14" s="2018"/>
      <c r="AC14" s="1799" t="s">
        <v>9</v>
      </c>
      <c r="AD14" s="1791"/>
      <c r="AE14" s="1746" t="s">
        <v>4</v>
      </c>
      <c r="AF14" s="2018"/>
      <c r="AG14" s="1799" t="s">
        <v>9</v>
      </c>
      <c r="AH14" s="1791"/>
      <c r="AI14" s="1746" t="s">
        <v>4</v>
      </c>
      <c r="AJ14" s="2018"/>
      <c r="AK14" s="1799" t="s">
        <v>9</v>
      </c>
      <c r="AL14" s="1791"/>
      <c r="AM14" s="1746" t="s">
        <v>4</v>
      </c>
    </row>
    <row r="15" spans="1:39" ht="33" customHeight="1">
      <c r="A15" s="1035">
        <v>6</v>
      </c>
      <c r="B15" s="3256" t="s">
        <v>56</v>
      </c>
      <c r="C15" s="3369"/>
      <c r="D15" s="3369"/>
      <c r="E15" s="3257"/>
      <c r="F15" s="1035" t="s">
        <v>4</v>
      </c>
      <c r="G15" s="1005" t="str">
        <f>'XM.GUI MAIL'!$E$52</f>
        <v>8~12</v>
      </c>
      <c r="H15" s="2206" t="str">
        <f>'XM.GUI MAIL'!$F$52</f>
        <v>(10±2)</v>
      </c>
      <c r="I15" s="2196">
        <f>'XM.GUI MAIL'!I52</f>
        <v>10.01</v>
      </c>
      <c r="J15" s="1402" t="s">
        <v>8</v>
      </c>
      <c r="K15" s="1341">
        <f>'XM.GUI MAIL'!L52</f>
        <v>0</v>
      </c>
      <c r="L15" s="1402" t="s">
        <v>9</v>
      </c>
      <c r="M15" s="1731">
        <f>'XM.GUI MAIL'!P52</f>
        <v>9.75</v>
      </c>
      <c r="N15" s="1402" t="s">
        <v>8</v>
      </c>
      <c r="O15" s="1341">
        <f>'XM.GUI MAIL'!S52</f>
        <v>4.9877500000000001</v>
      </c>
      <c r="P15" s="1402" t="s">
        <v>9</v>
      </c>
      <c r="Q15" s="1731">
        <f>'XM.GUI MAIL'!W52</f>
        <v>9.75</v>
      </c>
      <c r="R15" s="1402" t="s">
        <v>8</v>
      </c>
      <c r="S15" s="1341">
        <f>'XM.GUI MAIL'!Z52</f>
        <v>4.9877500000000001</v>
      </c>
      <c r="T15" s="56" t="s">
        <v>9</v>
      </c>
      <c r="U15" s="270" t="s">
        <v>14</v>
      </c>
      <c r="W15" s="1439">
        <v>6</v>
      </c>
      <c r="X15" s="3256" t="s">
        <v>56</v>
      </c>
      <c r="Y15" s="3369"/>
      <c r="Z15" s="3369"/>
      <c r="AA15" s="3257"/>
      <c r="AB15" s="2018"/>
      <c r="AC15" s="1799" t="s">
        <v>9</v>
      </c>
      <c r="AD15" s="1791"/>
      <c r="AE15" s="1746" t="s">
        <v>4</v>
      </c>
      <c r="AF15" s="2018"/>
      <c r="AG15" s="1799" t="s">
        <v>9</v>
      </c>
      <c r="AH15" s="1791"/>
      <c r="AI15" s="1746" t="s">
        <v>4</v>
      </c>
      <c r="AJ15" s="2018"/>
      <c r="AK15" s="1799" t="s">
        <v>9</v>
      </c>
      <c r="AL15" s="1791"/>
      <c r="AM15" s="1746" t="s">
        <v>4</v>
      </c>
    </row>
    <row r="16" spans="1:39" ht="33" customHeight="1">
      <c r="A16" s="3374">
        <v>7</v>
      </c>
      <c r="B16" s="3143" t="s">
        <v>971</v>
      </c>
      <c r="C16" s="3144"/>
      <c r="D16" s="3144"/>
      <c r="E16" s="3145"/>
      <c r="F16" s="1035" t="s">
        <v>3</v>
      </c>
      <c r="G16" s="1005" t="str">
        <f>'XM.GUI MAIL'!$E$53</f>
        <v xml:space="preserve">6~10 </v>
      </c>
      <c r="H16" s="2206" t="str">
        <f>'XM.GUI MAIL'!$F$53</f>
        <v>(7±1)</v>
      </c>
      <c r="I16" s="2196">
        <f>'XM.GUI MAIL'!I53</f>
        <v>7.2160500000000001</v>
      </c>
      <c r="J16" s="1402" t="s">
        <v>8</v>
      </c>
      <c r="K16" s="1341">
        <f>'XM.GUI MAIL'!L53</f>
        <v>0</v>
      </c>
      <c r="L16" s="1402" t="s">
        <v>10</v>
      </c>
      <c r="M16" s="1731">
        <f>'XM.GUI MAIL'!P53</f>
        <v>7.13131</v>
      </c>
      <c r="N16" s="1402" t="s">
        <v>8</v>
      </c>
      <c r="O16" s="1341">
        <f>'XM.GUI MAIL'!S53</f>
        <v>0</v>
      </c>
      <c r="P16" s="1402" t="s">
        <v>10</v>
      </c>
      <c r="Q16" s="1731">
        <f>'XM.GUI MAIL'!W53</f>
        <v>7.2160500000000001</v>
      </c>
      <c r="R16" s="1402" t="s">
        <v>8</v>
      </c>
      <c r="S16" s="1341">
        <f>'XM.GUI MAIL'!Z53</f>
        <v>0</v>
      </c>
      <c r="T16" s="56" t="s">
        <v>10</v>
      </c>
      <c r="U16" s="270"/>
      <c r="W16" s="3374">
        <v>7</v>
      </c>
      <c r="X16" s="3143" t="s">
        <v>971</v>
      </c>
      <c r="Y16" s="3144"/>
      <c r="Z16" s="3144"/>
      <c r="AA16" s="3145"/>
      <c r="AB16" s="2018"/>
      <c r="AC16" s="1799" t="s">
        <v>10</v>
      </c>
      <c r="AD16" s="1791"/>
      <c r="AE16" s="1746" t="s">
        <v>3</v>
      </c>
      <c r="AF16" s="2018"/>
      <c r="AG16" s="1799" t="s">
        <v>10</v>
      </c>
      <c r="AH16" s="1791"/>
      <c r="AI16" s="1746" t="s">
        <v>3</v>
      </c>
      <c r="AJ16" s="2018"/>
      <c r="AK16" s="1799" t="s">
        <v>10</v>
      </c>
      <c r="AL16" s="1791"/>
      <c r="AM16" s="1746" t="s">
        <v>3</v>
      </c>
    </row>
    <row r="17" spans="1:39" ht="33" customHeight="1">
      <c r="A17" s="3375"/>
      <c r="B17" s="3146"/>
      <c r="C17" s="3407"/>
      <c r="D17" s="3407"/>
      <c r="E17" s="3408"/>
      <c r="F17" s="1035" t="s">
        <v>5</v>
      </c>
      <c r="G17" s="1005" t="str">
        <f>'XM.GUI MAIL'!$E$54</f>
        <v>2~2.5</v>
      </c>
      <c r="H17" s="2206" t="str">
        <f>'XM.GUI MAIL'!$F$54</f>
        <v>(2.3±0.1 )</v>
      </c>
      <c r="I17" s="2196">
        <f>'XM.GUI MAIL'!I54</f>
        <v>2.23</v>
      </c>
      <c r="J17" s="1402"/>
      <c r="K17" s="1341"/>
      <c r="L17" s="1402"/>
      <c r="M17" s="1731">
        <f>'XM.GUI MAIL'!P54</f>
        <v>2.2400000000000002</v>
      </c>
      <c r="N17" s="1402"/>
      <c r="O17" s="1341"/>
      <c r="P17" s="1402"/>
      <c r="Q17" s="1731">
        <f>'XM.GUI MAIL'!W54</f>
        <v>2.35</v>
      </c>
      <c r="R17" s="1402"/>
      <c r="S17" s="1341">
        <f>'XM.GUI MAIL'!Z54</f>
        <v>0</v>
      </c>
      <c r="T17" s="56"/>
      <c r="U17" s="20"/>
      <c r="W17" s="3375"/>
      <c r="X17" s="3146"/>
      <c r="Y17" s="3407"/>
      <c r="Z17" s="3407"/>
      <c r="AA17" s="3408"/>
      <c r="AB17" s="2018"/>
      <c r="AC17" s="1799"/>
      <c r="AD17" s="1791"/>
      <c r="AE17" s="1746" t="s">
        <v>5</v>
      </c>
      <c r="AF17" s="2018"/>
      <c r="AG17" s="1799"/>
      <c r="AH17" s="1791"/>
      <c r="AI17" s="1746" t="s">
        <v>5</v>
      </c>
      <c r="AJ17" s="2018"/>
      <c r="AK17" s="1799"/>
      <c r="AL17" s="1791"/>
      <c r="AM17" s="1746" t="s">
        <v>5</v>
      </c>
    </row>
    <row r="18" spans="1:39" ht="33" customHeight="1">
      <c r="A18" s="1035">
        <v>8</v>
      </c>
      <c r="B18" s="3256" t="s">
        <v>57</v>
      </c>
      <c r="C18" s="3369"/>
      <c r="D18" s="3369"/>
      <c r="E18" s="3257"/>
      <c r="F18" s="1025" t="s">
        <v>6</v>
      </c>
      <c r="G18" s="1005" t="str">
        <f>'XM.GUI MAIL'!$E$55</f>
        <v xml:space="preserve">40~50 </v>
      </c>
      <c r="H18" s="2206" t="str">
        <f>'XM.GUI MAIL'!$F$55</f>
        <v>(45±5)</v>
      </c>
      <c r="I18" s="2197">
        <f>'XM.GUI MAIL'!I55</f>
        <v>0.46765624999999994</v>
      </c>
      <c r="J18" s="1404" t="s">
        <v>8</v>
      </c>
      <c r="K18" s="1405">
        <f>'XM.GUI MAIL'!L55</f>
        <v>0</v>
      </c>
      <c r="L18" s="1406" t="s">
        <v>10</v>
      </c>
      <c r="M18" s="1736">
        <f>'XM.GUI MAIL'!P55</f>
        <v>0.47906250000000006</v>
      </c>
      <c r="N18" s="1404" t="s">
        <v>8</v>
      </c>
      <c r="O18" s="1405">
        <f>'XM.GUI MAIL'!S55</f>
        <v>0</v>
      </c>
      <c r="P18" s="1406" t="s">
        <v>10</v>
      </c>
      <c r="Q18" s="1736">
        <f>'XM.GUI MAIL'!W55</f>
        <v>0.45624999999999999</v>
      </c>
      <c r="R18" s="1402" t="s">
        <v>8</v>
      </c>
      <c r="S18" s="1341">
        <f>'XM.GUI MAIL'!Z55</f>
        <v>0</v>
      </c>
      <c r="T18" s="56" t="s">
        <v>10</v>
      </c>
      <c r="U18" s="270" t="s">
        <v>15</v>
      </c>
      <c r="W18" s="1439">
        <v>8</v>
      </c>
      <c r="X18" s="3256" t="s">
        <v>57</v>
      </c>
      <c r="Y18" s="3369"/>
      <c r="Z18" s="3369"/>
      <c r="AA18" s="3257"/>
      <c r="AB18" s="2018"/>
      <c r="AC18" s="1799" t="s">
        <v>10</v>
      </c>
      <c r="AD18" s="1791"/>
      <c r="AE18" s="1801" t="s">
        <v>6</v>
      </c>
      <c r="AF18" s="2018"/>
      <c r="AG18" s="1799" t="s">
        <v>10</v>
      </c>
      <c r="AH18" s="1791"/>
      <c r="AI18" s="1801" t="s">
        <v>6</v>
      </c>
      <c r="AJ18" s="2018"/>
      <c r="AK18" s="1799" t="s">
        <v>10</v>
      </c>
      <c r="AL18" s="1791"/>
      <c r="AM18" s="1801" t="s">
        <v>6</v>
      </c>
    </row>
    <row r="19" spans="1:39" ht="33" hidden="1" customHeight="1">
      <c r="A19" s="1035">
        <v>9</v>
      </c>
      <c r="B19" s="3256" t="s">
        <v>58</v>
      </c>
      <c r="C19" s="3369"/>
      <c r="D19" s="3369"/>
      <c r="E19" s="3257"/>
      <c r="F19" s="1025" t="s">
        <v>6</v>
      </c>
      <c r="G19" s="1005" t="str">
        <f>'XM.GUI MAIL'!$E$56</f>
        <v>(22±5) =17~27</v>
      </c>
      <c r="H19" s="2206" t="str">
        <f>'XM.GUI MAIL'!$F$56</f>
        <v>(22±5)</v>
      </c>
      <c r="I19" s="2197">
        <f>'XM.GUI MAIL'!I56</f>
        <v>0</v>
      </c>
      <c r="J19" s="1402" t="s">
        <v>8</v>
      </c>
      <c r="K19" s="1341">
        <f>'XM.GUI MAIL'!L56</f>
        <v>0</v>
      </c>
      <c r="L19" s="1402" t="s">
        <v>10</v>
      </c>
      <c r="M19" s="1736">
        <f>'XM.GUI MAIL'!P56</f>
        <v>0</v>
      </c>
      <c r="N19" s="1402" t="s">
        <v>8</v>
      </c>
      <c r="O19" s="1341">
        <f>'XM.GUI MAIL'!S56</f>
        <v>0</v>
      </c>
      <c r="P19" s="1402" t="s">
        <v>10</v>
      </c>
      <c r="Q19" s="1736">
        <f>'XM.GUI MAIL'!W56</f>
        <v>0</v>
      </c>
      <c r="R19" s="1402" t="s">
        <v>8</v>
      </c>
      <c r="S19" s="1341">
        <f>'XM.GUI MAIL'!Z56</f>
        <v>0</v>
      </c>
      <c r="T19" s="56" t="s">
        <v>10</v>
      </c>
      <c r="U19" s="270" t="s">
        <v>15</v>
      </c>
      <c r="W19" s="1439">
        <v>9</v>
      </c>
      <c r="X19" s="3256" t="s">
        <v>58</v>
      </c>
      <c r="Y19" s="3369"/>
      <c r="Z19" s="3369"/>
      <c r="AA19" s="3257"/>
      <c r="AB19" s="2018"/>
      <c r="AC19" s="1799" t="s">
        <v>10</v>
      </c>
      <c r="AD19" s="1791"/>
      <c r="AE19" s="1801" t="s">
        <v>6</v>
      </c>
      <c r="AF19" s="2018"/>
      <c r="AG19" s="1799" t="s">
        <v>10</v>
      </c>
      <c r="AH19" s="1791"/>
      <c r="AI19" s="1801" t="s">
        <v>6</v>
      </c>
      <c r="AJ19" s="2018"/>
      <c r="AK19" s="1799" t="s">
        <v>10</v>
      </c>
      <c r="AL19" s="1791"/>
      <c r="AM19" s="1801" t="s">
        <v>6</v>
      </c>
    </row>
    <row r="20" spans="1:39" ht="34.5" customHeight="1">
      <c r="A20" s="1035">
        <v>11</v>
      </c>
      <c r="B20" s="3256" t="s">
        <v>107</v>
      </c>
      <c r="C20" s="3369"/>
      <c r="D20" s="3369"/>
      <c r="E20" s="3257"/>
      <c r="F20" s="1025" t="s">
        <v>6</v>
      </c>
      <c r="G20" s="1005" t="str">
        <f>'XM.GUI MAIL'!$E$57</f>
        <v>5~15</v>
      </c>
      <c r="H20" s="2206" t="str">
        <f>'XM.GUI MAIL'!$F$57</f>
        <v>(10±3)</v>
      </c>
      <c r="I20" s="2197">
        <f>'XM.GUI MAIL'!I57</f>
        <v>7.9843750000000005E-2</v>
      </c>
      <c r="J20" s="1402" t="s">
        <v>8</v>
      </c>
      <c r="K20" s="1341">
        <f>'XM.GUI MAIL'!L57</f>
        <v>11.58984375</v>
      </c>
      <c r="L20" s="1402" t="s">
        <v>10</v>
      </c>
      <c r="M20" s="1736">
        <f>'XM.GUI MAIL'!P57</f>
        <v>8.2125000000000004E-2</v>
      </c>
      <c r="N20" s="1402" t="s">
        <v>8</v>
      </c>
      <c r="O20" s="1341">
        <f>'XM.GUI MAIL'!S57</f>
        <v>10.278125000000001</v>
      </c>
      <c r="P20" s="1402" t="s">
        <v>10</v>
      </c>
      <c r="Q20" s="1736">
        <f>'XM.GUI MAIL'!W57</f>
        <v>8.7828125000000007E-2</v>
      </c>
      <c r="R20" s="1402" t="s">
        <v>8</v>
      </c>
      <c r="S20" s="1341">
        <f>'XM.GUI MAIL'!Z57</f>
        <v>6.9988281249999993</v>
      </c>
      <c r="T20" s="56" t="s">
        <v>10</v>
      </c>
      <c r="U20" s="270" t="s">
        <v>16</v>
      </c>
      <c r="W20" s="1439">
        <v>11</v>
      </c>
      <c r="X20" s="3256" t="s">
        <v>107</v>
      </c>
      <c r="Y20" s="3369"/>
      <c r="Z20" s="3369"/>
      <c r="AA20" s="3257"/>
      <c r="AB20" s="2018"/>
      <c r="AC20" s="1799" t="s">
        <v>10</v>
      </c>
      <c r="AD20" s="1791"/>
      <c r="AE20" s="1801" t="s">
        <v>6</v>
      </c>
      <c r="AF20" s="2018"/>
      <c r="AG20" s="1799" t="s">
        <v>10</v>
      </c>
      <c r="AH20" s="1791"/>
      <c r="AI20" s="1801" t="s">
        <v>6</v>
      </c>
      <c r="AJ20" s="2018"/>
      <c r="AK20" s="1799" t="s">
        <v>10</v>
      </c>
      <c r="AL20" s="1791"/>
      <c r="AM20" s="1801" t="s">
        <v>6</v>
      </c>
    </row>
    <row r="21" spans="1:39" ht="33" customHeight="1">
      <c r="A21" s="1035">
        <v>12</v>
      </c>
      <c r="B21" s="3256" t="s">
        <v>106</v>
      </c>
      <c r="C21" s="3369"/>
      <c r="D21" s="3369"/>
      <c r="E21" s="3257"/>
      <c r="F21" s="1025" t="s">
        <v>3</v>
      </c>
      <c r="G21" s="1005" t="str">
        <f>'XM.GUI MAIL'!$E$58</f>
        <v>0.5~1.5</v>
      </c>
      <c r="H21" s="2206" t="str">
        <f>'XM.GUI MAIL'!$F$58</f>
        <v>(1±0.4)</v>
      </c>
      <c r="I21" s="2199">
        <f>'XM.GUI MAIL'!I58</f>
        <v>1.1088000000000001E-2</v>
      </c>
      <c r="J21" s="1404" t="s">
        <v>8</v>
      </c>
      <c r="K21" s="1409">
        <f>'XM.GUI MAIL'!L58</f>
        <v>0</v>
      </c>
      <c r="L21" s="1406" t="s">
        <v>10</v>
      </c>
      <c r="M21" s="1767">
        <f>'XM.GUI MAIL'!P58</f>
        <v>1.3229999999999999E-2</v>
      </c>
      <c r="N21" s="1404" t="s">
        <v>8</v>
      </c>
      <c r="O21" s="1409">
        <f>'XM.GUI MAIL'!S58</f>
        <v>0</v>
      </c>
      <c r="P21" s="1406" t="s">
        <v>10</v>
      </c>
      <c r="Q21" s="1767">
        <f>'XM.GUI MAIL'!W58</f>
        <v>1.1088000000000001E-2</v>
      </c>
      <c r="R21" s="1402" t="s">
        <v>8</v>
      </c>
      <c r="S21" s="78">
        <f>'XM.GUI MAIL'!Z58</f>
        <v>0</v>
      </c>
      <c r="T21" s="56" t="s">
        <v>10</v>
      </c>
      <c r="U21" s="270" t="s">
        <v>16</v>
      </c>
      <c r="W21" s="1439">
        <v>12</v>
      </c>
      <c r="X21" s="3256" t="s">
        <v>106</v>
      </c>
      <c r="Y21" s="3369"/>
      <c r="Z21" s="3369"/>
      <c r="AA21" s="3257"/>
      <c r="AB21" s="2018"/>
      <c r="AC21" s="1799" t="s">
        <v>10</v>
      </c>
      <c r="AD21" s="1791"/>
      <c r="AE21" s="1801" t="s">
        <v>3</v>
      </c>
      <c r="AF21" s="2018"/>
      <c r="AG21" s="1799" t="s">
        <v>10</v>
      </c>
      <c r="AH21" s="1791"/>
      <c r="AI21" s="1801" t="s">
        <v>3</v>
      </c>
      <c r="AJ21" s="2018"/>
      <c r="AK21" s="1799" t="s">
        <v>10</v>
      </c>
      <c r="AL21" s="1791"/>
      <c r="AM21" s="1801" t="s">
        <v>3</v>
      </c>
    </row>
    <row r="22" spans="1:39" ht="31.5" customHeight="1">
      <c r="A22" s="3374">
        <v>13</v>
      </c>
      <c r="B22" s="3143" t="s">
        <v>233</v>
      </c>
      <c r="C22" s="3144"/>
      <c r="D22" s="3144"/>
      <c r="E22" s="3145"/>
      <c r="F22" s="1035" t="s">
        <v>3</v>
      </c>
      <c r="G22" s="1005" t="str">
        <f>'XM.GUI MAIL'!$E$59</f>
        <v>5~8</v>
      </c>
      <c r="H22" s="2206" t="str">
        <f>'XM.GUI MAIL'!$F$59</f>
        <v>(6±0.5)</v>
      </c>
      <c r="I22" s="2200">
        <f>'XM.GUI MAIL'!I59</f>
        <v>7.2000000000000011</v>
      </c>
      <c r="J22" s="1402" t="s">
        <v>8</v>
      </c>
      <c r="K22" s="78">
        <f>'XM.GUI MAIL'!L59</f>
        <v>0</v>
      </c>
      <c r="L22" s="1403" t="s">
        <v>10</v>
      </c>
      <c r="M22" s="1833" t="str">
        <f>'XM.GUI MAIL'!P59</f>
        <v>ko sx</v>
      </c>
      <c r="N22" s="1402" t="s">
        <v>8</v>
      </c>
      <c r="O22" s="78">
        <f>'XM.GUI MAIL'!S59</f>
        <v>0</v>
      </c>
      <c r="P22" s="1403" t="s">
        <v>10</v>
      </c>
      <c r="Q22" s="1833" t="str">
        <f>'XM.GUI MAIL'!W59</f>
        <v>ko sx</v>
      </c>
      <c r="R22" s="1402" t="s">
        <v>8</v>
      </c>
      <c r="S22" s="78">
        <f>'XM.GUI MAIL'!Z59</f>
        <v>0</v>
      </c>
      <c r="T22" s="56" t="s">
        <v>10</v>
      </c>
      <c r="U22" s="270"/>
      <c r="W22" s="3374">
        <v>13</v>
      </c>
      <c r="X22" s="3143" t="s">
        <v>233</v>
      </c>
      <c r="Y22" s="3144"/>
      <c r="Z22" s="3144"/>
      <c r="AA22" s="3145"/>
      <c r="AB22" s="2018"/>
      <c r="AC22" s="1799" t="s">
        <v>10</v>
      </c>
      <c r="AD22" s="1791"/>
      <c r="AE22" s="1746" t="s">
        <v>3</v>
      </c>
      <c r="AF22" s="2018"/>
      <c r="AG22" s="1799" t="s">
        <v>10</v>
      </c>
      <c r="AH22" s="1791"/>
      <c r="AI22" s="1746" t="s">
        <v>3</v>
      </c>
      <c r="AJ22" s="2018"/>
      <c r="AK22" s="1799" t="s">
        <v>10</v>
      </c>
      <c r="AL22" s="1791"/>
      <c r="AM22" s="1746" t="s">
        <v>3</v>
      </c>
    </row>
    <row r="23" spans="1:39" ht="31.5" customHeight="1">
      <c r="A23" s="3375"/>
      <c r="B23" s="3146"/>
      <c r="C23" s="3147"/>
      <c r="D23" s="3147"/>
      <c r="E23" s="3148"/>
      <c r="F23" s="1035" t="s">
        <v>5</v>
      </c>
      <c r="G23" s="1005" t="str">
        <f>'XM.GUI MAIL'!$E$60</f>
        <v>1.8~2.4</v>
      </c>
      <c r="H23" s="2206" t="str">
        <f>'XM.GUI MAIL'!$F$60</f>
        <v>(2.1±0.1 )</v>
      </c>
      <c r="I23" s="2201">
        <f>'XM.GUI MAIL'!I60</f>
        <v>2.0299999999999998</v>
      </c>
      <c r="J23" s="1402"/>
      <c r="K23" s="1341"/>
      <c r="L23" s="1403"/>
      <c r="M23" s="2176" t="str">
        <f>'XM.GUI MAIL'!P60</f>
        <v>ko sx</v>
      </c>
      <c r="N23" s="1402"/>
      <c r="O23" s="1341"/>
      <c r="P23" s="1403"/>
      <c r="Q23" s="2176" t="str">
        <f>'XM.GUI MAIL'!W60</f>
        <v>ko sx</v>
      </c>
      <c r="R23" s="1402"/>
      <c r="S23" s="1341">
        <f>'XM.GUI MAIL'!Z60</f>
        <v>0</v>
      </c>
      <c r="T23" s="56"/>
      <c r="U23" s="270"/>
      <c r="W23" s="3375"/>
      <c r="X23" s="3146"/>
      <c r="Y23" s="3147"/>
      <c r="Z23" s="3147"/>
      <c r="AA23" s="3148"/>
      <c r="AB23" s="2019"/>
      <c r="AC23" s="1799"/>
      <c r="AD23" s="1795"/>
      <c r="AE23" s="1746"/>
      <c r="AF23" s="2019"/>
      <c r="AG23" s="1799"/>
      <c r="AH23" s="1795"/>
      <c r="AI23" s="1746"/>
      <c r="AJ23" s="2019"/>
      <c r="AK23" s="1799"/>
      <c r="AL23" s="1795"/>
      <c r="AM23" s="1746"/>
    </row>
    <row r="24" spans="1:39" ht="33.75" customHeight="1">
      <c r="A24" s="1035"/>
      <c r="B24" s="254"/>
      <c r="C24" s="255"/>
      <c r="D24" s="255"/>
      <c r="E24" s="255"/>
      <c r="F24" s="255"/>
      <c r="G24" s="257" t="s">
        <v>108</v>
      </c>
      <c r="H24" s="257"/>
      <c r="I24" s="255"/>
      <c r="J24" s="255"/>
      <c r="K24" s="255"/>
      <c r="L24" s="255"/>
      <c r="M24" s="255"/>
      <c r="N24" s="255"/>
      <c r="O24" s="255"/>
      <c r="P24" s="255"/>
      <c r="Q24" s="255"/>
      <c r="R24" s="255"/>
      <c r="S24" s="255"/>
      <c r="T24" s="255"/>
      <c r="U24" s="256"/>
      <c r="W24" s="1439"/>
      <c r="X24" s="254"/>
      <c r="Y24" s="255"/>
      <c r="Z24" s="255"/>
      <c r="AA24" s="255"/>
      <c r="AB24" s="255"/>
      <c r="AC24" s="255"/>
      <c r="AD24" s="255"/>
      <c r="AE24" s="255"/>
      <c r="AF24" s="255"/>
      <c r="AG24" s="1798"/>
      <c r="AH24" s="1798"/>
    </row>
    <row r="25" spans="1:39" ht="33.75" customHeight="1">
      <c r="A25" s="1025" t="s">
        <v>7</v>
      </c>
      <c r="B25" s="3256" t="s">
        <v>60</v>
      </c>
      <c r="C25" s="3369"/>
      <c r="D25" s="3369"/>
      <c r="E25" s="3257"/>
      <c r="F25" s="1028" t="s">
        <v>62</v>
      </c>
      <c r="G25" s="975" t="s">
        <v>1296</v>
      </c>
      <c r="H25" s="2204" t="s">
        <v>1289</v>
      </c>
      <c r="I25" s="3403" t="s">
        <v>45</v>
      </c>
      <c r="J25" s="3404"/>
      <c r="K25" s="3405" t="s">
        <v>61</v>
      </c>
      <c r="L25" s="3404"/>
      <c r="M25" s="3405" t="s">
        <v>45</v>
      </c>
      <c r="N25" s="3404"/>
      <c r="O25" s="3405" t="s">
        <v>61</v>
      </c>
      <c r="P25" s="3404"/>
      <c r="Q25" s="3405" t="s">
        <v>45</v>
      </c>
      <c r="R25" s="3404"/>
      <c r="S25" s="3405" t="s">
        <v>61</v>
      </c>
      <c r="T25" s="3404"/>
      <c r="U25" s="1026"/>
      <c r="W25" s="1441" t="s">
        <v>7</v>
      </c>
      <c r="X25" s="3256" t="s">
        <v>60</v>
      </c>
      <c r="Y25" s="3369"/>
      <c r="Z25" s="3369"/>
      <c r="AA25" s="3257"/>
      <c r="AB25" s="3366" t="s">
        <v>1345</v>
      </c>
      <c r="AC25" s="3199"/>
      <c r="AD25" s="3199"/>
      <c r="AE25" s="3200"/>
      <c r="AF25" s="3366" t="s">
        <v>1345</v>
      </c>
      <c r="AG25" s="3199"/>
      <c r="AH25" s="3199"/>
      <c r="AI25" s="3200"/>
      <c r="AJ25" s="3366" t="s">
        <v>1345</v>
      </c>
      <c r="AK25" s="3199"/>
      <c r="AL25" s="3199"/>
      <c r="AM25" s="3200"/>
    </row>
    <row r="26" spans="1:39" ht="37.5" customHeight="1">
      <c r="A26" s="1025">
        <v>1</v>
      </c>
      <c r="B26" s="3256" t="s">
        <v>64</v>
      </c>
      <c r="C26" s="3369"/>
      <c r="D26" s="3369"/>
      <c r="E26" s="3257"/>
      <c r="F26" s="21" t="s">
        <v>104</v>
      </c>
      <c r="G26" s="1006" t="str">
        <f>'XM.GUI MAIL'!$E$63</f>
        <v>50~70</v>
      </c>
      <c r="H26" s="2222" t="str">
        <f>'XM.GUI MAIL'!$F$63</f>
        <v>(60±5)</v>
      </c>
      <c r="I26" s="3195">
        <f>'XM.GUI MAIL'!I63</f>
        <v>43</v>
      </c>
      <c r="J26" s="3121"/>
      <c r="K26" s="3121">
        <f>'XM.GUI MAIL'!L63</f>
        <v>42</v>
      </c>
      <c r="L26" s="3121"/>
      <c r="M26" s="3121">
        <f>'XM.GUI MAIL'!P63</f>
        <v>42</v>
      </c>
      <c r="N26" s="3121"/>
      <c r="O26" s="3121">
        <f>'XM.GUI MAIL'!S63</f>
        <v>43</v>
      </c>
      <c r="P26" s="3121"/>
      <c r="Q26" s="3121">
        <f>'XM.GUI MAIL'!W63</f>
        <v>55</v>
      </c>
      <c r="R26" s="3121"/>
      <c r="S26" s="3121">
        <f>'XM.GUI MAIL'!Z63</f>
        <v>55</v>
      </c>
      <c r="T26" s="3121"/>
      <c r="U26" s="20"/>
      <c r="W26" s="1441">
        <v>1</v>
      </c>
      <c r="X26" s="3256" t="s">
        <v>64</v>
      </c>
      <c r="Y26" s="3369"/>
      <c r="Z26" s="3369"/>
      <c r="AA26" s="3257"/>
      <c r="AB26" s="1505"/>
      <c r="AC26" s="1787"/>
      <c r="AD26" s="1787"/>
      <c r="AE26" s="1506"/>
      <c r="AF26" s="1505"/>
      <c r="AG26" s="1787"/>
      <c r="AH26" s="1787"/>
      <c r="AI26" s="1506"/>
      <c r="AJ26" s="1505"/>
      <c r="AK26" s="1787"/>
      <c r="AL26" s="1787"/>
      <c r="AM26" s="1506"/>
    </row>
    <row r="27" spans="1:39" ht="37.5" customHeight="1">
      <c r="A27" s="1025">
        <v>2</v>
      </c>
      <c r="B27" s="3256" t="s">
        <v>65</v>
      </c>
      <c r="C27" s="3369" t="s">
        <v>65</v>
      </c>
      <c r="D27" s="3369" t="s">
        <v>65</v>
      </c>
      <c r="E27" s="3257" t="s">
        <v>65</v>
      </c>
      <c r="F27" s="21" t="s">
        <v>104</v>
      </c>
      <c r="G27" s="1006" t="str">
        <f>'XM.GUI MAIL'!$E$64</f>
        <v>50~70</v>
      </c>
      <c r="H27" s="2222" t="str">
        <f>'XM.GUI MAIL'!$F$64</f>
        <v>(60±5)</v>
      </c>
      <c r="I27" s="3195">
        <f>'XM.GUI MAIL'!I64</f>
        <v>58</v>
      </c>
      <c r="J27" s="3121"/>
      <c r="K27" s="3121">
        <f>'XM.GUI MAIL'!L64</f>
        <v>57</v>
      </c>
      <c r="L27" s="3121"/>
      <c r="M27" s="3121">
        <f>'XM.GUI MAIL'!P64</f>
        <v>57</v>
      </c>
      <c r="N27" s="3121"/>
      <c r="O27" s="3121">
        <f>'XM.GUI MAIL'!S64</f>
        <v>58</v>
      </c>
      <c r="P27" s="3121"/>
      <c r="Q27" s="3121">
        <f>'XM.GUI MAIL'!W64</f>
        <v>58</v>
      </c>
      <c r="R27" s="3121"/>
      <c r="S27" s="3121">
        <f>'XM.GUI MAIL'!Z64</f>
        <v>58</v>
      </c>
      <c r="T27" s="3121"/>
      <c r="U27" s="20"/>
      <c r="W27" s="1441">
        <v>2</v>
      </c>
      <c r="X27" s="3256" t="s">
        <v>65</v>
      </c>
      <c r="Y27" s="3369" t="s">
        <v>65</v>
      </c>
      <c r="Z27" s="3369" t="s">
        <v>65</v>
      </c>
      <c r="AA27" s="3257" t="s">
        <v>65</v>
      </c>
      <c r="AB27" s="1505"/>
      <c r="AC27" s="1787"/>
      <c r="AD27" s="1787"/>
      <c r="AE27" s="1506"/>
      <c r="AF27" s="1505"/>
      <c r="AG27" s="1787"/>
      <c r="AH27" s="1787"/>
      <c r="AI27" s="1506"/>
      <c r="AJ27" s="1505"/>
      <c r="AK27" s="1787"/>
      <c r="AL27" s="1787"/>
      <c r="AM27" s="1506"/>
    </row>
    <row r="28" spans="1:39" ht="37.5" customHeight="1">
      <c r="A28" s="1025">
        <v>3</v>
      </c>
      <c r="B28" s="3256" t="s">
        <v>67</v>
      </c>
      <c r="C28" s="3369" t="s">
        <v>67</v>
      </c>
      <c r="D28" s="3369" t="s">
        <v>67</v>
      </c>
      <c r="E28" s="3257" t="s">
        <v>67</v>
      </c>
      <c r="F28" s="21" t="s">
        <v>104</v>
      </c>
      <c r="G28" s="1006" t="str">
        <f>'XM.GUI MAIL'!$E$65</f>
        <v>40~60</v>
      </c>
      <c r="H28" s="2222" t="str">
        <f>'XM.GUI MAIL'!$F$65</f>
        <v>(50±5)</v>
      </c>
      <c r="I28" s="3096">
        <f>'XM.GUI MAIL'!I65</f>
        <v>52</v>
      </c>
      <c r="J28" s="3086"/>
      <c r="K28" s="3095">
        <f>'XM.GUI MAIL'!L65</f>
        <v>51</v>
      </c>
      <c r="L28" s="3086"/>
      <c r="M28" s="3095">
        <f>'XM.GUI MAIL'!P65</f>
        <v>52</v>
      </c>
      <c r="N28" s="3086"/>
      <c r="O28" s="3095">
        <f>'XM.GUI MAIL'!S65</f>
        <v>51</v>
      </c>
      <c r="P28" s="3086"/>
      <c r="Q28" s="3095">
        <f>'XM.GUI MAIL'!W65</f>
        <v>52</v>
      </c>
      <c r="R28" s="3086"/>
      <c r="S28" s="3095">
        <f>'XM.GUI MAIL'!Z65</f>
        <v>52</v>
      </c>
      <c r="T28" s="3086"/>
      <c r="U28" s="20"/>
      <c r="W28" s="1441">
        <v>3</v>
      </c>
      <c r="X28" s="3256" t="s">
        <v>67</v>
      </c>
      <c r="Y28" s="3369" t="s">
        <v>67</v>
      </c>
      <c r="Z28" s="3369" t="s">
        <v>67</v>
      </c>
      <c r="AA28" s="3257" t="s">
        <v>67</v>
      </c>
      <c r="AB28" s="1505"/>
      <c r="AC28" s="1787"/>
      <c r="AD28" s="1787"/>
      <c r="AE28" s="1506"/>
      <c r="AF28" s="1505"/>
      <c r="AG28" s="1787"/>
      <c r="AH28" s="1787"/>
      <c r="AI28" s="1506"/>
      <c r="AJ28" s="1505"/>
      <c r="AK28" s="1787"/>
      <c r="AL28" s="1787"/>
      <c r="AM28" s="1506"/>
    </row>
    <row r="29" spans="1:39" ht="37.5" customHeight="1">
      <c r="A29" s="1025">
        <v>4</v>
      </c>
      <c r="B29" s="3256" t="s">
        <v>66</v>
      </c>
      <c r="C29" s="3369" t="s">
        <v>66</v>
      </c>
      <c r="D29" s="3369" t="s">
        <v>66</v>
      </c>
      <c r="E29" s="3257" t="s">
        <v>66</v>
      </c>
      <c r="F29" s="21" t="s">
        <v>104</v>
      </c>
      <c r="G29" s="1006" t="str">
        <f>'XM.GUI MAIL'!$E$66</f>
        <v>40~60</v>
      </c>
      <c r="H29" s="2222" t="str">
        <f>'XM.GUI MAIL'!$F$66</f>
        <v>(50±5)</v>
      </c>
      <c r="I29" s="3096">
        <f>'XM.GUI MAIL'!I66</f>
        <v>50</v>
      </c>
      <c r="J29" s="3086"/>
      <c r="K29" s="3095">
        <f>'XM.GUI MAIL'!L66</f>
        <v>49</v>
      </c>
      <c r="L29" s="3086"/>
      <c r="M29" s="3095">
        <f>'XM.GUI MAIL'!P66</f>
        <v>48</v>
      </c>
      <c r="N29" s="3086"/>
      <c r="O29" s="3095">
        <f>'XM.GUI MAIL'!S66</f>
        <v>48</v>
      </c>
      <c r="P29" s="3086"/>
      <c r="Q29" s="3095">
        <f>'XM.GUI MAIL'!W66</f>
        <v>48</v>
      </c>
      <c r="R29" s="3086"/>
      <c r="S29" s="3095">
        <f>'XM.GUI MAIL'!Z66</f>
        <v>48</v>
      </c>
      <c r="T29" s="3086"/>
      <c r="U29" s="20"/>
      <c r="W29" s="1441">
        <v>4</v>
      </c>
      <c r="X29" s="3256" t="s">
        <v>66</v>
      </c>
      <c r="Y29" s="3369" t="s">
        <v>66</v>
      </c>
      <c r="Z29" s="3369" t="s">
        <v>66</v>
      </c>
      <c r="AA29" s="3257" t="s">
        <v>66</v>
      </c>
      <c r="AB29" s="1505"/>
      <c r="AC29" s="1787"/>
      <c r="AD29" s="1787"/>
      <c r="AE29" s="1506"/>
      <c r="AF29" s="1505"/>
      <c r="AG29" s="1787"/>
      <c r="AH29" s="1787"/>
      <c r="AI29" s="1506"/>
      <c r="AJ29" s="1505"/>
      <c r="AK29" s="1787"/>
      <c r="AL29" s="1787"/>
      <c r="AM29" s="1506"/>
    </row>
    <row r="30" spans="1:39" ht="37.5" customHeight="1">
      <c r="A30" s="1025">
        <v>5</v>
      </c>
      <c r="B30" s="3256" t="s">
        <v>68</v>
      </c>
      <c r="C30" s="3369" t="s">
        <v>68</v>
      </c>
      <c r="D30" s="3369" t="s">
        <v>68</v>
      </c>
      <c r="E30" s="3257" t="s">
        <v>68</v>
      </c>
      <c r="F30" s="21" t="s">
        <v>104</v>
      </c>
      <c r="G30" s="1006" t="str">
        <f>'XM.GUI MAIL'!$E$67</f>
        <v>20~35</v>
      </c>
      <c r="H30" s="2222" t="str">
        <f>'XM.GUI MAIL'!$F$67</f>
        <v>(30±4)</v>
      </c>
      <c r="I30" s="3195">
        <f>'XM.GUI MAIL'!I67</f>
        <v>28</v>
      </c>
      <c r="J30" s="3121"/>
      <c r="K30" s="3121">
        <f>'XM.GUI MAIL'!L67</f>
        <v>27</v>
      </c>
      <c r="L30" s="3121"/>
      <c r="M30" s="3121">
        <f>'XM.GUI MAIL'!P67</f>
        <v>29</v>
      </c>
      <c r="N30" s="3121"/>
      <c r="O30" s="3121">
        <f>'XM.GUI MAIL'!S67</f>
        <v>30</v>
      </c>
      <c r="P30" s="3121"/>
      <c r="Q30" s="3121">
        <f>'XM.GUI MAIL'!W67</f>
        <v>30</v>
      </c>
      <c r="R30" s="3121"/>
      <c r="S30" s="3121">
        <f>'XM.GUI MAIL'!Z67</f>
        <v>30</v>
      </c>
      <c r="T30" s="3121"/>
      <c r="U30" s="20"/>
      <c r="W30" s="1441">
        <v>5</v>
      </c>
      <c r="X30" s="3256" t="s">
        <v>68</v>
      </c>
      <c r="Y30" s="3369" t="s">
        <v>68</v>
      </c>
      <c r="Z30" s="3369" t="s">
        <v>68</v>
      </c>
      <c r="AA30" s="3257" t="s">
        <v>68</v>
      </c>
      <c r="AB30" s="1505"/>
      <c r="AC30" s="1787"/>
      <c r="AD30" s="1787"/>
      <c r="AE30" s="1506"/>
      <c r="AF30" s="1505"/>
      <c r="AG30" s="1787"/>
      <c r="AH30" s="1787"/>
      <c r="AI30" s="1506"/>
      <c r="AJ30" s="1505"/>
      <c r="AK30" s="1787"/>
      <c r="AL30" s="1787"/>
      <c r="AM30" s="1506"/>
    </row>
    <row r="31" spans="1:39" ht="37.5" customHeight="1">
      <c r="A31" s="1025">
        <v>6</v>
      </c>
      <c r="B31" s="3256" t="s">
        <v>972</v>
      </c>
      <c r="C31" s="3369" t="s">
        <v>972</v>
      </c>
      <c r="D31" s="3369" t="s">
        <v>972</v>
      </c>
      <c r="E31" s="3257" t="s">
        <v>972</v>
      </c>
      <c r="F31" s="21" t="s">
        <v>104</v>
      </c>
      <c r="G31" s="1006" t="str">
        <f>'XM.GUI MAIL'!$E$68</f>
        <v>30-38</v>
      </c>
      <c r="H31" s="2222" t="str">
        <f>'XM.GUI MAIL'!$F$68</f>
        <v>(34±2)</v>
      </c>
      <c r="I31" s="3195">
        <f>'XM.GUI MAIL'!I68</f>
        <v>39</v>
      </c>
      <c r="J31" s="3121"/>
      <c r="K31" s="3121">
        <f>'XM.GUI MAIL'!L68</f>
        <v>38</v>
      </c>
      <c r="L31" s="3121"/>
      <c r="M31" s="3121">
        <f>'XM.GUI MAIL'!P68</f>
        <v>38</v>
      </c>
      <c r="N31" s="3121"/>
      <c r="O31" s="3121">
        <f>'XM.GUI MAIL'!S68</f>
        <v>38</v>
      </c>
      <c r="P31" s="3121"/>
      <c r="Q31" s="3121">
        <f>'XM.GUI MAIL'!W68</f>
        <v>38</v>
      </c>
      <c r="R31" s="3121"/>
      <c r="S31" s="3121">
        <f>'XM.GUI MAIL'!Z68</f>
        <v>38</v>
      </c>
      <c r="T31" s="3121"/>
      <c r="U31" s="22"/>
      <c r="W31" s="1441">
        <v>6</v>
      </c>
      <c r="X31" s="3256" t="s">
        <v>972</v>
      </c>
      <c r="Y31" s="3369" t="s">
        <v>972</v>
      </c>
      <c r="Z31" s="3369" t="s">
        <v>972</v>
      </c>
      <c r="AA31" s="3257" t="s">
        <v>972</v>
      </c>
      <c r="AB31" s="1505"/>
      <c r="AC31" s="1787"/>
      <c r="AD31" s="1787"/>
      <c r="AE31" s="1506"/>
      <c r="AF31" s="1505"/>
      <c r="AG31" s="1787"/>
      <c r="AH31" s="1787"/>
      <c r="AI31" s="1506"/>
      <c r="AJ31" s="1505"/>
      <c r="AK31" s="1787"/>
      <c r="AL31" s="1787"/>
      <c r="AM31" s="1506"/>
    </row>
    <row r="32" spans="1:39" ht="37.5" customHeight="1">
      <c r="A32" s="1025">
        <v>7</v>
      </c>
      <c r="B32" s="3256" t="s">
        <v>69</v>
      </c>
      <c r="C32" s="3369" t="s">
        <v>69</v>
      </c>
      <c r="D32" s="3369" t="s">
        <v>69</v>
      </c>
      <c r="E32" s="3257" t="s">
        <v>69</v>
      </c>
      <c r="F32" s="21" t="s">
        <v>104</v>
      </c>
      <c r="G32" s="1006" t="str">
        <f>'XM.GUI MAIL'!$E$69</f>
        <v>50~70</v>
      </c>
      <c r="H32" s="2222" t="str">
        <f>'XM.GUI MAIL'!$F$69</f>
        <v>(60±10)</v>
      </c>
      <c r="I32" s="3195">
        <f>'XM.GUI MAIL'!I69</f>
        <v>53</v>
      </c>
      <c r="J32" s="3121"/>
      <c r="K32" s="3121">
        <f>'XM.GUI MAIL'!L69</f>
        <v>52</v>
      </c>
      <c r="L32" s="3121"/>
      <c r="M32" s="3121">
        <f>'XM.GUI MAIL'!P69</f>
        <v>52</v>
      </c>
      <c r="N32" s="3121"/>
      <c r="O32" s="3121">
        <f>'XM.GUI MAIL'!S69</f>
        <v>52</v>
      </c>
      <c r="P32" s="3121"/>
      <c r="Q32" s="3121">
        <f>'XM.GUI MAIL'!W69</f>
        <v>52</v>
      </c>
      <c r="R32" s="3121"/>
      <c r="S32" s="3121">
        <f>'XM.GUI MAIL'!Z69</f>
        <v>53</v>
      </c>
      <c r="T32" s="3121"/>
      <c r="U32" s="20"/>
      <c r="W32" s="1441">
        <v>7</v>
      </c>
      <c r="X32" s="3256" t="s">
        <v>69</v>
      </c>
      <c r="Y32" s="3369" t="s">
        <v>69</v>
      </c>
      <c r="Z32" s="3369" t="s">
        <v>69</v>
      </c>
      <c r="AA32" s="3257" t="s">
        <v>69</v>
      </c>
      <c r="AB32" s="1505"/>
      <c r="AC32" s="1787"/>
      <c r="AD32" s="1787"/>
      <c r="AE32" s="1506"/>
      <c r="AF32" s="1505"/>
      <c r="AG32" s="1787"/>
      <c r="AH32" s="1787"/>
      <c r="AI32" s="1506"/>
      <c r="AJ32" s="1505"/>
      <c r="AK32" s="1787"/>
      <c r="AL32" s="1787"/>
      <c r="AM32" s="1506"/>
    </row>
    <row r="33" spans="1:39" ht="37.5" customHeight="1">
      <c r="A33" s="1025">
        <v>8</v>
      </c>
      <c r="B33" s="3370" t="s">
        <v>70</v>
      </c>
      <c r="C33" s="3371" t="s">
        <v>70</v>
      </c>
      <c r="D33" s="3371" t="s">
        <v>70</v>
      </c>
      <c r="E33" s="3372" t="s">
        <v>70</v>
      </c>
      <c r="F33" s="21" t="s">
        <v>104</v>
      </c>
      <c r="G33" s="1006" t="str">
        <f>'XM.GUI MAIL'!$E$70</f>
        <v>80~100</v>
      </c>
      <c r="H33" s="2222" t="str">
        <f>'XM.GUI MAIL'!$F$70</f>
        <v>(90±5)</v>
      </c>
      <c r="I33" s="3214" t="s">
        <v>46</v>
      </c>
      <c r="J33" s="3203"/>
      <c r="K33" s="3086">
        <f>'XM.GUI MAIL'!L70</f>
        <v>90</v>
      </c>
      <c r="L33" s="3086"/>
      <c r="M33" s="3202" t="s">
        <v>46</v>
      </c>
      <c r="N33" s="3203"/>
      <c r="O33" s="3086">
        <f>'XM.GUI MAIL'!S70</f>
        <v>92</v>
      </c>
      <c r="P33" s="3086"/>
      <c r="Q33" s="3202" t="s">
        <v>46</v>
      </c>
      <c r="R33" s="3203"/>
      <c r="S33" s="3086">
        <f>'XM.GUI MAIL'!Z70</f>
        <v>83</v>
      </c>
      <c r="T33" s="3086"/>
      <c r="U33" s="20"/>
      <c r="W33" s="1441">
        <v>8</v>
      </c>
      <c r="X33" s="3370" t="s">
        <v>70</v>
      </c>
      <c r="Y33" s="3371" t="s">
        <v>70</v>
      </c>
      <c r="Z33" s="3371" t="s">
        <v>70</v>
      </c>
      <c r="AA33" s="3372" t="s">
        <v>70</v>
      </c>
      <c r="AB33" s="1505"/>
      <c r="AC33" s="1787"/>
      <c r="AD33" s="1787"/>
      <c r="AE33" s="1506"/>
      <c r="AF33" s="1785"/>
      <c r="AG33" s="1784"/>
      <c r="AH33" s="1803"/>
      <c r="AI33" s="1507"/>
      <c r="AJ33" s="1501"/>
      <c r="AK33" s="1784"/>
      <c r="AL33" s="1784"/>
      <c r="AM33" s="1507"/>
    </row>
    <row r="34" spans="1:39" ht="30.75" customHeight="1">
      <c r="A34" s="1035"/>
      <c r="B34" s="254"/>
      <c r="C34" s="255"/>
      <c r="D34" s="255"/>
      <c r="E34" s="255"/>
      <c r="F34" s="255"/>
      <c r="G34" s="257" t="s">
        <v>109</v>
      </c>
      <c r="H34" s="257"/>
      <c r="I34" s="255"/>
      <c r="J34" s="255"/>
      <c r="K34" s="255"/>
      <c r="L34" s="255"/>
      <c r="M34" s="255"/>
      <c r="N34" s="255"/>
      <c r="O34" s="255"/>
      <c r="P34" s="255"/>
      <c r="Q34" s="255"/>
      <c r="R34" s="255"/>
      <c r="S34" s="255"/>
      <c r="T34" s="255"/>
      <c r="U34" s="256"/>
      <c r="W34" s="1439"/>
      <c r="X34" s="254"/>
      <c r="Y34" s="255"/>
      <c r="Z34" s="255"/>
      <c r="AA34" s="255"/>
      <c r="AB34" s="255"/>
      <c r="AC34" s="255"/>
      <c r="AD34" s="255"/>
      <c r="AE34" s="255"/>
      <c r="AF34" s="1802"/>
      <c r="AG34" s="1798"/>
      <c r="AH34" s="1798"/>
    </row>
    <row r="35" spans="1:39" ht="41.25" customHeight="1">
      <c r="A35" s="1025" t="s">
        <v>7</v>
      </c>
      <c r="B35" s="3256" t="s">
        <v>91</v>
      </c>
      <c r="C35" s="3369"/>
      <c r="D35" s="3369"/>
      <c r="E35" s="3257"/>
      <c r="F35" s="1024" t="s">
        <v>92</v>
      </c>
      <c r="G35" s="975" t="s">
        <v>1296</v>
      </c>
      <c r="H35" s="2204" t="s">
        <v>1289</v>
      </c>
      <c r="I35" s="3372" t="s">
        <v>110</v>
      </c>
      <c r="J35" s="3117"/>
      <c r="K35" s="3117"/>
      <c r="L35" s="3117"/>
      <c r="M35" s="3117" t="s">
        <v>110</v>
      </c>
      <c r="N35" s="3117"/>
      <c r="O35" s="3117"/>
      <c r="P35" s="3117"/>
      <c r="Q35" s="3117" t="s">
        <v>110</v>
      </c>
      <c r="R35" s="3117"/>
      <c r="S35" s="3117"/>
      <c r="T35" s="3117"/>
      <c r="U35" s="1026"/>
      <c r="W35" s="1441" t="s">
        <v>7</v>
      </c>
      <c r="X35" s="3256" t="s">
        <v>91</v>
      </c>
      <c r="Y35" s="3369"/>
      <c r="Z35" s="3369"/>
      <c r="AA35" s="3257"/>
      <c r="AB35" s="3366" t="s">
        <v>1345</v>
      </c>
      <c r="AC35" s="3199"/>
      <c r="AD35" s="3199"/>
      <c r="AE35" s="3200"/>
      <c r="AF35" s="3366" t="s">
        <v>1345</v>
      </c>
      <c r="AG35" s="3199"/>
      <c r="AH35" s="3199"/>
      <c r="AI35" s="3200"/>
      <c r="AJ35" s="3366" t="s">
        <v>1345</v>
      </c>
      <c r="AK35" s="3199"/>
      <c r="AL35" s="3199"/>
      <c r="AM35" s="3200"/>
    </row>
    <row r="36" spans="1:39" ht="39" customHeight="1">
      <c r="A36" s="1035">
        <v>1</v>
      </c>
      <c r="B36" s="3410" t="s">
        <v>225</v>
      </c>
      <c r="C36" s="3411"/>
      <c r="D36" s="3411"/>
      <c r="E36" s="3412"/>
      <c r="F36" s="2883" t="s">
        <v>1641</v>
      </c>
      <c r="G36" s="266" t="str">
        <f>'XM.GUI MAIL'!$E$72</f>
        <v>100-200</v>
      </c>
      <c r="H36" s="1890" t="str">
        <f>'XM.GUI MAIL'!$F$72</f>
        <v>100-200</v>
      </c>
      <c r="I36" s="3357">
        <f>'XM.GUI MAIL'!I72</f>
        <v>175</v>
      </c>
      <c r="J36" s="3357"/>
      <c r="K36" s="3357"/>
      <c r="L36" s="3357"/>
      <c r="M36" s="3295">
        <f>'XM.GUI MAIL'!P72</f>
        <v>178</v>
      </c>
      <c r="N36" s="3357"/>
      <c r="O36" s="3357"/>
      <c r="P36" s="3357"/>
      <c r="Q36" s="3295">
        <f>'XM.GUI MAIL'!W72</f>
        <v>160</v>
      </c>
      <c r="R36" s="3357"/>
      <c r="S36" s="3357"/>
      <c r="T36" s="3357"/>
      <c r="U36" s="1424"/>
      <c r="W36" s="1439">
        <v>1</v>
      </c>
      <c r="X36" s="3410" t="s">
        <v>225</v>
      </c>
      <c r="Y36" s="3411"/>
      <c r="Z36" s="3411"/>
      <c r="AA36" s="3412"/>
      <c r="AB36" s="2435"/>
      <c r="AC36" s="2436"/>
      <c r="AD36" s="2436"/>
      <c r="AE36" s="1506"/>
      <c r="AF36" s="2435"/>
      <c r="AG36" s="2436"/>
      <c r="AH36" s="2436"/>
      <c r="AI36" s="1506"/>
      <c r="AJ36" s="2435"/>
      <c r="AK36" s="2436"/>
      <c r="AL36" s="2436"/>
      <c r="AM36" s="1506"/>
    </row>
    <row r="37" spans="1:39" ht="39" customHeight="1">
      <c r="A37" s="1035">
        <v>2</v>
      </c>
      <c r="B37" s="3410" t="s">
        <v>226</v>
      </c>
      <c r="C37" s="3411"/>
      <c r="D37" s="3411"/>
      <c r="E37" s="3412"/>
      <c r="F37" s="2883" t="s">
        <v>1641</v>
      </c>
      <c r="G37" s="266" t="str">
        <f>'XM.GUI MAIL'!$E$73</f>
        <v>20-50</v>
      </c>
      <c r="H37" s="1890" t="str">
        <f>'XM.GUI MAIL'!$F$73</f>
        <v>20-50</v>
      </c>
      <c r="I37" s="3357">
        <f>'XM.GUI MAIL'!I73</f>
        <v>30</v>
      </c>
      <c r="J37" s="3357"/>
      <c r="K37" s="3357"/>
      <c r="L37" s="3357"/>
      <c r="M37" s="3295">
        <f>'XM.GUI MAIL'!P73</f>
        <v>32</v>
      </c>
      <c r="N37" s="3357"/>
      <c r="O37" s="3357"/>
      <c r="P37" s="3357"/>
      <c r="Q37" s="3295">
        <f>'XM.GUI MAIL'!V73</f>
        <v>24</v>
      </c>
      <c r="R37" s="3357"/>
      <c r="S37" s="3357"/>
      <c r="T37" s="3357"/>
      <c r="U37" s="22"/>
      <c r="W37" s="1439">
        <v>2</v>
      </c>
      <c r="X37" s="3410" t="s">
        <v>226</v>
      </c>
      <c r="Y37" s="3411"/>
      <c r="Z37" s="3411"/>
      <c r="AA37" s="3412"/>
      <c r="AB37" s="2431"/>
      <c r="AC37" s="2426"/>
      <c r="AD37" s="2426"/>
      <c r="AE37" s="2434"/>
      <c r="AF37" s="2431"/>
      <c r="AG37" s="2426"/>
      <c r="AH37" s="2426"/>
      <c r="AI37" s="2434"/>
      <c r="AJ37" s="2431"/>
      <c r="AK37" s="2426"/>
      <c r="AL37" s="2426"/>
      <c r="AM37" s="2434"/>
    </row>
    <row r="38" spans="1:39" ht="12.75" customHeight="1">
      <c r="A38" s="403"/>
      <c r="B38" s="607"/>
      <c r="C38" s="607"/>
      <c r="D38" s="607"/>
      <c r="E38" s="607"/>
      <c r="F38" s="899"/>
      <c r="G38" s="899"/>
      <c r="H38" s="899"/>
      <c r="I38" s="899"/>
      <c r="J38" s="899"/>
      <c r="K38" s="899"/>
      <c r="L38" s="899"/>
      <c r="M38" s="899"/>
      <c r="N38" s="899"/>
      <c r="O38" s="899"/>
      <c r="P38" s="899"/>
      <c r="Q38" s="899"/>
      <c r="R38" s="899"/>
      <c r="S38" s="1358"/>
      <c r="T38" s="1358"/>
      <c r="U38" s="900"/>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7" type="noConversion"/>
  <conditionalFormatting sqref="I36 M36 Q36">
    <cfRule type="expression" dxfId="2799" priority="1853">
      <formula>I36&lt;100</formula>
    </cfRule>
    <cfRule type="expression" dxfId="2798" priority="1854">
      <formula>I36&gt;200</formula>
    </cfRule>
  </conditionalFormatting>
  <conditionalFormatting sqref="Q37 I37 M37">
    <cfRule type="expression" dxfId="2797" priority="1851">
      <formula>I37&lt;20</formula>
    </cfRule>
    <cfRule type="expression" dxfId="2796" priority="1852">
      <formula>I37&gt;50</formula>
    </cfRule>
  </conditionalFormatting>
  <conditionalFormatting sqref="K30:L30">
    <cfRule type="cellIs" dxfId="2795" priority="333" operator="between">
      <formula>22</formula>
      <formula>25.99</formula>
    </cfRule>
    <cfRule type="cellIs" dxfId="2794" priority="334" operator="between">
      <formula>34.1</formula>
      <formula>35</formula>
    </cfRule>
    <cfRule type="expression" dxfId="2793" priority="335">
      <formula>K30&lt;22</formula>
    </cfRule>
    <cfRule type="expression" dxfId="2792" priority="336">
      <formula>K30&gt;35</formula>
    </cfRule>
  </conditionalFormatting>
  <conditionalFormatting sqref="K31:L31">
    <cfRule type="cellIs" dxfId="2791" priority="329" operator="between">
      <formula>30</formula>
      <formula>31.99</formula>
    </cfRule>
    <cfRule type="cellIs" dxfId="2790" priority="330" operator="between">
      <formula>36.1</formula>
      <formula>38</formula>
    </cfRule>
    <cfRule type="expression" dxfId="2789" priority="331">
      <formula>K31&lt;30</formula>
    </cfRule>
    <cfRule type="expression" dxfId="2788" priority="332">
      <formula>K31&gt;38</formula>
    </cfRule>
  </conditionalFormatting>
  <conditionalFormatting sqref="K33">
    <cfRule type="cellIs" dxfId="2787" priority="325" operator="between">
      <formula>80</formula>
      <formula>84.9</formula>
    </cfRule>
    <cfRule type="cellIs" dxfId="2786" priority="326" operator="between">
      <formula>95.1</formula>
      <formula>100</formula>
    </cfRule>
    <cfRule type="expression" dxfId="2785" priority="327">
      <formula>K33&lt;80</formula>
    </cfRule>
    <cfRule type="expression" dxfId="2784" priority="328">
      <formula>K33&gt;100</formula>
    </cfRule>
  </conditionalFormatting>
  <conditionalFormatting sqref="K26:L27">
    <cfRule type="cellIs" dxfId="2783" priority="321" operator="between">
      <formula>50</formula>
      <formula>54.9</formula>
    </cfRule>
    <cfRule type="cellIs" dxfId="2782" priority="322" operator="between">
      <formula>65.1</formula>
      <formula>70</formula>
    </cfRule>
    <cfRule type="expression" dxfId="2781" priority="323">
      <formula>K26&lt;50</formula>
    </cfRule>
    <cfRule type="expression" dxfId="2780" priority="324">
      <formula>K26&gt;70</formula>
    </cfRule>
  </conditionalFormatting>
  <conditionalFormatting sqref="K32">
    <cfRule type="expression" dxfId="2779" priority="316">
      <formula>K32&lt;50</formula>
    </cfRule>
    <cfRule type="expression" dxfId="2778" priority="317">
      <formula>K32&gt;70</formula>
    </cfRule>
  </conditionalFormatting>
  <conditionalFormatting sqref="I30:J30">
    <cfRule type="cellIs" dxfId="2777" priority="309" operator="between">
      <formula>22</formula>
      <formula>25.99</formula>
    </cfRule>
    <cfRule type="cellIs" dxfId="2776" priority="310" operator="between">
      <formula>34.1</formula>
      <formula>35</formula>
    </cfRule>
    <cfRule type="expression" dxfId="2775" priority="311">
      <formula>I30&lt;22</formula>
    </cfRule>
    <cfRule type="expression" dxfId="2774" priority="312">
      <formula>I30&gt;35</formula>
    </cfRule>
  </conditionalFormatting>
  <conditionalFormatting sqref="I31:J31">
    <cfRule type="cellIs" dxfId="2773" priority="305" operator="between">
      <formula>30</formula>
      <formula>31.99</formula>
    </cfRule>
    <cfRule type="cellIs" dxfId="2772" priority="306" operator="between">
      <formula>36.1</formula>
      <formula>38</formula>
    </cfRule>
    <cfRule type="expression" dxfId="2771" priority="307">
      <formula>I31&lt;30</formula>
    </cfRule>
    <cfRule type="expression" dxfId="2770" priority="308">
      <formula>I31&gt;38</formula>
    </cfRule>
  </conditionalFormatting>
  <conditionalFormatting sqref="I26:J27">
    <cfRule type="cellIs" dxfId="2769" priority="301" operator="between">
      <formula>50</formula>
      <formula>54.9</formula>
    </cfRule>
    <cfRule type="cellIs" dxfId="2768" priority="302" operator="between">
      <formula>65.1</formula>
      <formula>70</formula>
    </cfRule>
    <cfRule type="expression" dxfId="2767" priority="303">
      <formula>I26&lt;50</formula>
    </cfRule>
    <cfRule type="expression" dxfId="2766" priority="304">
      <formula>I26&gt;70</formula>
    </cfRule>
  </conditionalFormatting>
  <conditionalFormatting sqref="I32">
    <cfRule type="expression" dxfId="2765" priority="296">
      <formula>I32&lt;50</formula>
    </cfRule>
    <cfRule type="expression" dxfId="2764" priority="297">
      <formula>I32&gt;70</formula>
    </cfRule>
  </conditionalFormatting>
  <conditionalFormatting sqref="O30:P30">
    <cfRule type="cellIs" dxfId="2763" priority="289" operator="between">
      <formula>22</formula>
      <formula>25.99</formula>
    </cfRule>
    <cfRule type="cellIs" dxfId="2762" priority="290" operator="between">
      <formula>34.1</formula>
      <formula>35</formula>
    </cfRule>
    <cfRule type="expression" dxfId="2761" priority="291">
      <formula>O30&lt;22</formula>
    </cfRule>
    <cfRule type="expression" dxfId="2760" priority="292">
      <formula>O30&gt;35</formula>
    </cfRule>
  </conditionalFormatting>
  <conditionalFormatting sqref="O31:P31">
    <cfRule type="cellIs" dxfId="2759" priority="285" operator="between">
      <formula>30</formula>
      <formula>31.99</formula>
    </cfRule>
    <cfRule type="cellIs" dxfId="2758" priority="286" operator="between">
      <formula>36.1</formula>
      <formula>38</formula>
    </cfRule>
    <cfRule type="expression" dxfId="2757" priority="287">
      <formula>O31&lt;30</formula>
    </cfRule>
    <cfRule type="expression" dxfId="2756" priority="288">
      <formula>O31&gt;38</formula>
    </cfRule>
  </conditionalFormatting>
  <conditionalFormatting sqref="O33">
    <cfRule type="cellIs" dxfId="2755" priority="281" operator="between">
      <formula>80</formula>
      <formula>84.9</formula>
    </cfRule>
    <cfRule type="cellIs" dxfId="2754" priority="282" operator="between">
      <formula>95.1</formula>
      <formula>100</formula>
    </cfRule>
    <cfRule type="expression" dxfId="2753" priority="283">
      <formula>O33&lt;80</formula>
    </cfRule>
    <cfRule type="expression" dxfId="2752" priority="284">
      <formula>O33&gt;100</formula>
    </cfRule>
  </conditionalFormatting>
  <conditionalFormatting sqref="O26:P27">
    <cfRule type="cellIs" dxfId="2751" priority="277" operator="between">
      <formula>50</formula>
      <formula>54.9</formula>
    </cfRule>
    <cfRule type="cellIs" dxfId="2750" priority="278" operator="between">
      <formula>65.1</formula>
      <formula>70</formula>
    </cfRule>
    <cfRule type="expression" dxfId="2749" priority="279">
      <formula>O26&lt;50</formula>
    </cfRule>
    <cfRule type="expression" dxfId="2748" priority="280">
      <formula>O26&gt;70</formula>
    </cfRule>
  </conditionalFormatting>
  <conditionalFormatting sqref="O32">
    <cfRule type="expression" dxfId="2747" priority="272">
      <formula>O32&lt;50</formula>
    </cfRule>
    <cfRule type="expression" dxfId="2746" priority="273">
      <formula>O32&gt;70</formula>
    </cfRule>
  </conditionalFormatting>
  <conditionalFormatting sqref="M30:N30">
    <cfRule type="cellIs" dxfId="2745" priority="265" operator="between">
      <formula>22</formula>
      <formula>25.99</formula>
    </cfRule>
    <cfRule type="cellIs" dxfId="2744" priority="266" operator="between">
      <formula>34.1</formula>
      <formula>35</formula>
    </cfRule>
    <cfRule type="expression" dxfId="2743" priority="267">
      <formula>M30&lt;22</formula>
    </cfRule>
    <cfRule type="expression" dxfId="2742" priority="268">
      <formula>M30&gt;35</formula>
    </cfRule>
  </conditionalFormatting>
  <conditionalFormatting sqref="M31:N31">
    <cfRule type="cellIs" dxfId="2741" priority="261" operator="between">
      <formula>30</formula>
      <formula>31.99</formula>
    </cfRule>
    <cfRule type="cellIs" dxfId="2740" priority="262" operator="between">
      <formula>36.1</formula>
      <formula>38</formula>
    </cfRule>
    <cfRule type="expression" dxfId="2739" priority="263">
      <formula>M31&lt;30</formula>
    </cfRule>
    <cfRule type="expression" dxfId="2738" priority="264">
      <formula>M31&gt;38</formula>
    </cfRule>
  </conditionalFormatting>
  <conditionalFormatting sqref="M26:N27">
    <cfRule type="cellIs" dxfId="2737" priority="257" operator="between">
      <formula>50</formula>
      <formula>54.9</formula>
    </cfRule>
    <cfRule type="cellIs" dxfId="2736" priority="258" operator="between">
      <formula>65.1</formula>
      <formula>70</formula>
    </cfRule>
    <cfRule type="expression" dxfId="2735" priority="259">
      <formula>M26&lt;50</formula>
    </cfRule>
    <cfRule type="expression" dxfId="2734" priority="260">
      <formula>M26&gt;70</formula>
    </cfRule>
  </conditionalFormatting>
  <conditionalFormatting sqref="M32">
    <cfRule type="expression" dxfId="2733" priority="252">
      <formula>M32&lt;50</formula>
    </cfRule>
    <cfRule type="expression" dxfId="2732" priority="253">
      <formula>M32&gt;70</formula>
    </cfRule>
  </conditionalFormatting>
  <conditionalFormatting sqref="S30:T30">
    <cfRule type="cellIs" dxfId="2731" priority="245" operator="between">
      <formula>22</formula>
      <formula>25.99</formula>
    </cfRule>
    <cfRule type="cellIs" dxfId="2730" priority="246" operator="between">
      <formula>34.1</formula>
      <formula>35</formula>
    </cfRule>
    <cfRule type="expression" dxfId="2729" priority="247">
      <formula>S30&lt;22</formula>
    </cfRule>
    <cfRule type="expression" dxfId="2728" priority="248">
      <formula>S30&gt;35</formula>
    </cfRule>
  </conditionalFormatting>
  <conditionalFormatting sqref="S31:T31">
    <cfRule type="cellIs" dxfId="2727" priority="241" operator="between">
      <formula>30</formula>
      <formula>31.99</formula>
    </cfRule>
    <cfRule type="cellIs" dxfId="2726" priority="242" operator="between">
      <formula>36.1</formula>
      <formula>38</formula>
    </cfRule>
    <cfRule type="expression" dxfId="2725" priority="243">
      <formula>S31&lt;30</formula>
    </cfRule>
    <cfRule type="expression" dxfId="2724" priority="244">
      <formula>S31&gt;38</formula>
    </cfRule>
  </conditionalFormatting>
  <conditionalFormatting sqref="S33">
    <cfRule type="cellIs" dxfId="2723" priority="237" operator="between">
      <formula>80</formula>
      <formula>84.9</formula>
    </cfRule>
    <cfRule type="cellIs" dxfId="2722" priority="238" operator="between">
      <formula>95.1</formula>
      <formula>100</formula>
    </cfRule>
    <cfRule type="expression" dxfId="2721" priority="239">
      <formula>S33&lt;80</formula>
    </cfRule>
    <cfRule type="expression" dxfId="2720" priority="240">
      <formula>S33&gt;100</formula>
    </cfRule>
  </conditionalFormatting>
  <conditionalFormatting sqref="S26:T27">
    <cfRule type="cellIs" dxfId="2719" priority="233" operator="between">
      <formula>50</formula>
      <formula>54.9</formula>
    </cfRule>
    <cfRule type="cellIs" dxfId="2718" priority="234" operator="between">
      <formula>65.1</formula>
      <formula>70</formula>
    </cfRule>
    <cfRule type="expression" dxfId="2717" priority="235">
      <formula>S26&lt;50</formula>
    </cfRule>
    <cfRule type="expression" dxfId="2716" priority="236">
      <formula>S26&gt;70</formula>
    </cfRule>
  </conditionalFormatting>
  <conditionalFormatting sqref="S32">
    <cfRule type="expression" dxfId="2715" priority="228">
      <formula>S32&lt;50</formula>
    </cfRule>
    <cfRule type="expression" dxfId="2714" priority="229">
      <formula>S32&gt;70</formula>
    </cfRule>
  </conditionalFormatting>
  <conditionalFormatting sqref="Q30:R30">
    <cfRule type="cellIs" dxfId="2713" priority="221" operator="between">
      <formula>22</formula>
      <formula>25.99</formula>
    </cfRule>
    <cfRule type="cellIs" dxfId="2712" priority="222" operator="between">
      <formula>34.1</formula>
      <formula>35</formula>
    </cfRule>
    <cfRule type="expression" dxfId="2711" priority="223">
      <formula>Q30&lt;22</formula>
    </cfRule>
    <cfRule type="expression" dxfId="2710" priority="224">
      <formula>Q30&gt;35</formula>
    </cfRule>
  </conditionalFormatting>
  <conditionalFormatting sqref="Q31:R31">
    <cfRule type="cellIs" dxfId="2709" priority="217" operator="between">
      <formula>30</formula>
      <formula>31.99</formula>
    </cfRule>
    <cfRule type="cellIs" dxfId="2708" priority="218" operator="between">
      <formula>36.1</formula>
      <formula>38</formula>
    </cfRule>
    <cfRule type="expression" dxfId="2707" priority="219">
      <formula>Q31&lt;30</formula>
    </cfRule>
    <cfRule type="expression" dxfId="2706" priority="220">
      <formula>Q31&gt;38</formula>
    </cfRule>
  </conditionalFormatting>
  <conditionalFormatting sqref="Q26:R27">
    <cfRule type="cellIs" dxfId="2705" priority="213" operator="between">
      <formula>50</formula>
      <formula>54.9</formula>
    </cfRule>
    <cfRule type="cellIs" dxfId="2704" priority="214" operator="between">
      <formula>65.1</formula>
      <formula>70</formula>
    </cfRule>
    <cfRule type="expression" dxfId="2703" priority="215">
      <formula>Q26&lt;50</formula>
    </cfRule>
    <cfRule type="expression" dxfId="2702" priority="216">
      <formula>Q26&gt;70</formula>
    </cfRule>
  </conditionalFormatting>
  <conditionalFormatting sqref="Q32">
    <cfRule type="expression" dxfId="2701" priority="208">
      <formula>Q32&lt;50</formula>
    </cfRule>
    <cfRule type="expression" dxfId="2700" priority="209">
      <formula>Q32&gt;70</formula>
    </cfRule>
  </conditionalFormatting>
  <conditionalFormatting sqref="I19">
    <cfRule type="cellIs" dxfId="2699" priority="204" operator="between">
      <formula>15%</formula>
      <formula>16.99%</formula>
    </cfRule>
    <cfRule type="cellIs" dxfId="2698" priority="205" operator="between">
      <formula>27.01%</formula>
      <formula>30%</formula>
    </cfRule>
    <cfRule type="expression" dxfId="2697" priority="206">
      <formula>I19&lt;15%</formula>
    </cfRule>
    <cfRule type="expression" dxfId="2696" priority="207">
      <formula>I19&gt;30%</formula>
    </cfRule>
  </conditionalFormatting>
  <conditionalFormatting sqref="I15">
    <cfRule type="expression" dxfId="2695" priority="202">
      <formula>I15&lt;8</formula>
    </cfRule>
    <cfRule type="expression" dxfId="2694" priority="203">
      <formula>I15&gt;12</formula>
    </cfRule>
  </conditionalFormatting>
  <conditionalFormatting sqref="I17">
    <cfRule type="cellIs" dxfId="2693" priority="198" operator="between">
      <formula>2</formula>
      <formula>2.199</formula>
    </cfRule>
    <cfRule type="cellIs" dxfId="2692" priority="199" operator="between">
      <formula>2.41</formula>
      <formula>2.5</formula>
    </cfRule>
    <cfRule type="expression" dxfId="2691" priority="200">
      <formula>I17&lt;2</formula>
    </cfRule>
    <cfRule type="expression" dxfId="2690" priority="201">
      <formula>I17&gt;2.5</formula>
    </cfRule>
  </conditionalFormatting>
  <conditionalFormatting sqref="I20">
    <cfRule type="expression" dxfId="2689" priority="196">
      <formula>I20&lt;5%</formula>
    </cfRule>
    <cfRule type="expression" dxfId="2688" priority="197">
      <formula>I20&gt;15%</formula>
    </cfRule>
  </conditionalFormatting>
  <conditionalFormatting sqref="I20">
    <cfRule type="cellIs" dxfId="2687" priority="194" operator="between">
      <formula>5%</formula>
      <formula>6.99%</formula>
    </cfRule>
    <cfRule type="cellIs" dxfId="2686" priority="195" operator="between">
      <formula>13.1%</formula>
      <formula>15%</formula>
    </cfRule>
  </conditionalFormatting>
  <conditionalFormatting sqref="I6 I8">
    <cfRule type="cellIs" dxfId="2685" priority="190" operator="between">
      <formula>60</formula>
      <formula>64.99</formula>
    </cfRule>
    <cfRule type="cellIs" dxfId="2684" priority="191" operator="between">
      <formula>75.1</formula>
      <formula>80</formula>
    </cfRule>
    <cfRule type="expression" dxfId="2683" priority="192">
      <formula>I6&lt;60</formula>
    </cfRule>
    <cfRule type="expression" dxfId="2682" priority="193">
      <formula>I6&gt;80</formula>
    </cfRule>
  </conditionalFormatting>
  <conditionalFormatting sqref="I16">
    <cfRule type="cellIs" dxfId="2681" priority="187" operator="between">
      <formula>8.01</formula>
      <formula>10</formula>
    </cfRule>
    <cfRule type="expression" dxfId="2680" priority="188">
      <formula>I16&lt;6</formula>
    </cfRule>
    <cfRule type="expression" dxfId="2679" priority="189">
      <formula>I16&gt;10</formula>
    </cfRule>
  </conditionalFormatting>
  <conditionalFormatting sqref="I18">
    <cfRule type="cellIs" dxfId="2678" priority="183" operator="between">
      <formula>30%</formula>
      <formula>39.99%</formula>
    </cfRule>
    <cfRule type="cellIs" dxfId="2677" priority="184" operator="between">
      <formula>50.01%</formula>
      <formula>60%</formula>
    </cfRule>
    <cfRule type="expression" dxfId="2676" priority="185">
      <formula>I18&lt;30%</formula>
    </cfRule>
    <cfRule type="expression" dxfId="2675" priority="186">
      <formula>I18&gt;60%</formula>
    </cfRule>
  </conditionalFormatting>
  <conditionalFormatting sqref="I10">
    <cfRule type="expression" dxfId="2674" priority="181">
      <formula>I10&lt;50</formula>
    </cfRule>
    <cfRule type="expression" dxfId="2673" priority="182">
      <formula>I10&gt;70</formula>
    </cfRule>
  </conditionalFormatting>
  <conditionalFormatting sqref="I12">
    <cfRule type="expression" dxfId="2672" priority="179">
      <formula>I12&lt;50</formula>
    </cfRule>
    <cfRule type="expression" dxfId="2671" priority="180">
      <formula>I12&gt;70</formula>
    </cfRule>
  </conditionalFormatting>
  <conditionalFormatting sqref="I14">
    <cfRule type="cellIs" dxfId="2670" priority="175" operator="between">
      <formula>130</formula>
      <formula>132.99</formula>
    </cfRule>
    <cfRule type="cellIs" dxfId="2669" priority="176" operator="between">
      <formula>147.1</formula>
      <formula>150</formula>
    </cfRule>
    <cfRule type="expression" dxfId="2668" priority="177">
      <formula>I14&lt;130</formula>
    </cfRule>
    <cfRule type="expression" dxfId="2667" priority="178">
      <formula>I14&gt;150</formula>
    </cfRule>
  </conditionalFormatting>
  <conditionalFormatting sqref="I21">
    <cfRule type="cellIs" dxfId="2666" priority="171" operator="between">
      <formula>0.5%</formula>
      <formula>0.599%</formula>
    </cfRule>
    <cfRule type="cellIs" dxfId="2665" priority="172" operator="between">
      <formula>1.41%</formula>
      <formula>1.5%</formula>
    </cfRule>
    <cfRule type="expression" dxfId="2664" priority="173">
      <formula>I21&lt;0.5%</formula>
    </cfRule>
    <cfRule type="expression" dxfId="2663" priority="174">
      <formula>I21&gt;1.5%</formula>
    </cfRule>
  </conditionalFormatting>
  <conditionalFormatting sqref="M19">
    <cfRule type="cellIs" dxfId="2662" priority="167" operator="between">
      <formula>15%</formula>
      <formula>16.99%</formula>
    </cfRule>
    <cfRule type="cellIs" dxfId="2661" priority="168" operator="between">
      <formula>27.01%</formula>
      <formula>30%</formula>
    </cfRule>
    <cfRule type="expression" dxfId="2660" priority="169">
      <formula>M19&lt;15%</formula>
    </cfRule>
    <cfRule type="expression" dxfId="2659" priority="170">
      <formula>M19&gt;30%</formula>
    </cfRule>
  </conditionalFormatting>
  <conditionalFormatting sqref="M15">
    <cfRule type="expression" dxfId="2658" priority="165">
      <formula>M15&lt;8</formula>
    </cfRule>
    <cfRule type="expression" dxfId="2657" priority="166">
      <formula>M15&gt;12</formula>
    </cfRule>
  </conditionalFormatting>
  <conditionalFormatting sqref="M17">
    <cfRule type="cellIs" dxfId="2656" priority="161" operator="between">
      <formula>2</formula>
      <formula>2.199</formula>
    </cfRule>
    <cfRule type="cellIs" dxfId="2655" priority="162" operator="between">
      <formula>2.41</formula>
      <formula>2.5</formula>
    </cfRule>
    <cfRule type="expression" dxfId="2654" priority="163">
      <formula>M17&lt;2</formula>
    </cfRule>
    <cfRule type="expression" dxfId="2653" priority="164">
      <formula>M17&gt;2.5</formula>
    </cfRule>
  </conditionalFormatting>
  <conditionalFormatting sqref="M20">
    <cfRule type="expression" dxfId="2652" priority="159">
      <formula>M20&lt;5%</formula>
    </cfRule>
    <cfRule type="expression" dxfId="2651" priority="160">
      <formula>M20&gt;15%</formula>
    </cfRule>
  </conditionalFormatting>
  <conditionalFormatting sqref="M20">
    <cfRule type="cellIs" dxfId="2650" priority="157" operator="between">
      <formula>5%</formula>
      <formula>6.99%</formula>
    </cfRule>
    <cfRule type="cellIs" dxfId="2649" priority="158" operator="between">
      <formula>13.1%</formula>
      <formula>15%</formula>
    </cfRule>
  </conditionalFormatting>
  <conditionalFormatting sqref="M6 M8">
    <cfRule type="cellIs" dxfId="2648" priority="153" operator="between">
      <formula>60</formula>
      <formula>64.99</formula>
    </cfRule>
    <cfRule type="cellIs" dxfId="2647" priority="154" operator="between">
      <formula>75.1</formula>
      <formula>80</formula>
    </cfRule>
    <cfRule type="expression" dxfId="2646" priority="155">
      <formula>M6&lt;60</formula>
    </cfRule>
    <cfRule type="expression" dxfId="2645" priority="156">
      <formula>M6&gt;80</formula>
    </cfRule>
  </conditionalFormatting>
  <conditionalFormatting sqref="M16">
    <cfRule type="cellIs" dxfId="2644" priority="150" operator="between">
      <formula>8.01</formula>
      <formula>10</formula>
    </cfRule>
    <cfRule type="expression" dxfId="2643" priority="151">
      <formula>M16&lt;6</formula>
    </cfRule>
    <cfRule type="expression" dxfId="2642" priority="152">
      <formula>M16&gt;10</formula>
    </cfRule>
  </conditionalFormatting>
  <conditionalFormatting sqref="M18">
    <cfRule type="cellIs" dxfId="2641" priority="146" operator="between">
      <formula>30%</formula>
      <formula>39.99%</formula>
    </cfRule>
    <cfRule type="cellIs" dxfId="2640" priority="147" operator="between">
      <formula>50.01%</formula>
      <formula>60%</formula>
    </cfRule>
    <cfRule type="expression" dxfId="2639" priority="148">
      <formula>M18&lt;30%</formula>
    </cfRule>
    <cfRule type="expression" dxfId="2638" priority="149">
      <formula>M18&gt;60%</formula>
    </cfRule>
  </conditionalFormatting>
  <conditionalFormatting sqref="M10">
    <cfRule type="expression" dxfId="2637" priority="144">
      <formula>M10&lt;50</formula>
    </cfRule>
    <cfRule type="expression" dxfId="2636" priority="145">
      <formula>M10&gt;70</formula>
    </cfRule>
  </conditionalFormatting>
  <conditionalFormatting sqref="M12">
    <cfRule type="expression" dxfId="2635" priority="142">
      <formula>M12&lt;50</formula>
    </cfRule>
    <cfRule type="expression" dxfId="2634" priority="143">
      <formula>M12&gt;70</formula>
    </cfRule>
  </conditionalFormatting>
  <conditionalFormatting sqref="M14">
    <cfRule type="cellIs" dxfId="2633" priority="138" operator="between">
      <formula>130</formula>
      <formula>132.99</formula>
    </cfRule>
    <cfRule type="cellIs" dxfId="2632" priority="139" operator="between">
      <formula>147.1</formula>
      <formula>150</formula>
    </cfRule>
    <cfRule type="expression" dxfId="2631" priority="140">
      <formula>M14&lt;130</formula>
    </cfRule>
    <cfRule type="expression" dxfId="2630" priority="141">
      <formula>M14&gt;150</formula>
    </cfRule>
  </conditionalFormatting>
  <conditionalFormatting sqref="M21">
    <cfRule type="cellIs" dxfId="2629" priority="134" operator="between">
      <formula>0.5%</formula>
      <formula>0.599%</formula>
    </cfRule>
    <cfRule type="cellIs" dxfId="2628" priority="135" operator="between">
      <formula>1.41%</formula>
      <formula>1.5%</formula>
    </cfRule>
    <cfRule type="expression" dxfId="2627" priority="136">
      <formula>M21&lt;0.5%</formula>
    </cfRule>
    <cfRule type="expression" dxfId="2626" priority="137">
      <formula>M21&gt;1.5%</formula>
    </cfRule>
  </conditionalFormatting>
  <conditionalFormatting sqref="Q19">
    <cfRule type="cellIs" dxfId="2625" priority="130" operator="between">
      <formula>15%</formula>
      <formula>16.99%</formula>
    </cfRule>
    <cfRule type="cellIs" dxfId="2624" priority="131" operator="between">
      <formula>27.01%</formula>
      <formula>30%</formula>
    </cfRule>
    <cfRule type="expression" dxfId="2623" priority="132">
      <formula>Q19&lt;15%</formula>
    </cfRule>
    <cfRule type="expression" dxfId="2622" priority="133">
      <formula>Q19&gt;30%</formula>
    </cfRule>
  </conditionalFormatting>
  <conditionalFormatting sqref="Q15">
    <cfRule type="expression" dxfId="2621" priority="128">
      <formula>Q15&lt;8</formula>
    </cfRule>
    <cfRule type="expression" dxfId="2620" priority="129">
      <formula>Q15&gt;12</formula>
    </cfRule>
  </conditionalFormatting>
  <conditionalFormatting sqref="Q17">
    <cfRule type="cellIs" dxfId="2619" priority="124" operator="between">
      <formula>2</formula>
      <formula>2.199</formula>
    </cfRule>
    <cfRule type="cellIs" dxfId="2618" priority="125" operator="between">
      <formula>2.41</formula>
      <formula>2.5</formula>
    </cfRule>
    <cfRule type="expression" dxfId="2617" priority="126">
      <formula>Q17&lt;2</formula>
    </cfRule>
    <cfRule type="expression" dxfId="2616" priority="127">
      <formula>Q17&gt;2.5</formula>
    </cfRule>
  </conditionalFormatting>
  <conditionalFormatting sqref="Q20">
    <cfRule type="expression" dxfId="2615" priority="122">
      <formula>Q20&lt;5%</formula>
    </cfRule>
    <cfRule type="expression" dxfId="2614" priority="123">
      <formula>Q20&gt;15%</formula>
    </cfRule>
  </conditionalFormatting>
  <conditionalFormatting sqref="Q20">
    <cfRule type="cellIs" dxfId="2613" priority="120" operator="between">
      <formula>5%</formula>
      <formula>6.99%</formula>
    </cfRule>
    <cfRule type="cellIs" dxfId="2612" priority="121" operator="between">
      <formula>13.1%</formula>
      <formula>15%</formula>
    </cfRule>
  </conditionalFormatting>
  <conditionalFormatting sqref="Q6 Q8">
    <cfRule type="cellIs" dxfId="2611" priority="116" operator="between">
      <formula>60</formula>
      <formula>64.99</formula>
    </cfRule>
    <cfRule type="cellIs" dxfId="2610" priority="117" operator="between">
      <formula>75.1</formula>
      <formula>80</formula>
    </cfRule>
    <cfRule type="expression" dxfId="2609" priority="118">
      <formula>Q6&lt;60</formula>
    </cfRule>
    <cfRule type="expression" dxfId="2608" priority="119">
      <formula>Q6&gt;80</formula>
    </cfRule>
  </conditionalFormatting>
  <conditionalFormatting sqref="Q16">
    <cfRule type="cellIs" dxfId="2607" priority="113" operator="between">
      <formula>8.01</formula>
      <formula>10</formula>
    </cfRule>
    <cfRule type="expression" dxfId="2606" priority="114">
      <formula>Q16&lt;6</formula>
    </cfRule>
    <cfRule type="expression" dxfId="2605" priority="115">
      <formula>Q16&gt;10</formula>
    </cfRule>
  </conditionalFormatting>
  <conditionalFormatting sqref="Q18">
    <cfRule type="cellIs" dxfId="2604" priority="109" operator="between">
      <formula>30%</formula>
      <formula>39.99%</formula>
    </cfRule>
    <cfRule type="cellIs" dxfId="2603" priority="110" operator="between">
      <formula>50.01%</formula>
      <formula>60%</formula>
    </cfRule>
    <cfRule type="expression" dxfId="2602" priority="111">
      <formula>Q18&lt;30%</formula>
    </cfRule>
    <cfRule type="expression" dxfId="2601" priority="112">
      <formula>Q18&gt;60%</formula>
    </cfRule>
  </conditionalFormatting>
  <conditionalFormatting sqref="Q10">
    <cfRule type="expression" dxfId="2600" priority="107">
      <formula>Q10&lt;50</formula>
    </cfRule>
    <cfRule type="expression" dxfId="2599" priority="108">
      <formula>Q10&gt;70</formula>
    </cfRule>
  </conditionalFormatting>
  <conditionalFormatting sqref="Q12">
    <cfRule type="expression" dxfId="2598" priority="105">
      <formula>Q12&lt;50</formula>
    </cfRule>
    <cfRule type="expression" dxfId="2597" priority="106">
      <formula>Q12&gt;70</formula>
    </cfRule>
  </conditionalFormatting>
  <conditionalFormatting sqref="Q14">
    <cfRule type="cellIs" dxfId="2596" priority="101" operator="between">
      <formula>130</formula>
      <formula>132.99</formula>
    </cfRule>
    <cfRule type="cellIs" dxfId="2595" priority="102" operator="between">
      <formula>147.1</formula>
      <formula>150</formula>
    </cfRule>
    <cfRule type="expression" dxfId="2594" priority="103">
      <formula>Q14&lt;130</formula>
    </cfRule>
    <cfRule type="expression" dxfId="2593" priority="104">
      <formula>Q14&gt;150</formula>
    </cfRule>
  </conditionalFormatting>
  <conditionalFormatting sqref="Q21">
    <cfRule type="cellIs" dxfId="2592" priority="97" operator="between">
      <formula>0.5%</formula>
      <formula>0.599%</formula>
    </cfRule>
    <cfRule type="cellIs" dxfId="2591" priority="98" operator="between">
      <formula>1.41%</formula>
      <formula>1.5%</formula>
    </cfRule>
    <cfRule type="expression" dxfId="2590" priority="99">
      <formula>Q21&lt;0.5%</formula>
    </cfRule>
    <cfRule type="expression" dxfId="2589" priority="100">
      <formula>Q21&gt;1.5%</formula>
    </cfRule>
  </conditionalFormatting>
  <conditionalFormatting sqref="I23">
    <cfRule type="cellIs" dxfId="2588" priority="69" operator="between">
      <formula>1.8</formula>
      <formula>1.999</formula>
    </cfRule>
    <cfRule type="cellIs" dxfId="2587" priority="70" operator="between">
      <formula>2.21</formula>
      <formula>2.4</formula>
    </cfRule>
    <cfRule type="expression" dxfId="2586" priority="71">
      <formula>I23&lt;1.8</formula>
    </cfRule>
    <cfRule type="expression" dxfId="2585" priority="72">
      <formula>I23&gt;2.4</formula>
    </cfRule>
  </conditionalFormatting>
  <conditionalFormatting sqref="I22">
    <cfRule type="cellIs" dxfId="2584" priority="65" operator="between">
      <formula>5</formula>
      <formula>5.499</formula>
    </cfRule>
    <cfRule type="cellIs" dxfId="2583" priority="66" operator="between">
      <formula>6.51</formula>
      <formula>8</formula>
    </cfRule>
    <cfRule type="expression" dxfId="2582" priority="67">
      <formula>I22&lt;5</formula>
    </cfRule>
    <cfRule type="expression" dxfId="2581" priority="68">
      <formula>I22&gt;8</formula>
    </cfRule>
  </conditionalFormatting>
  <conditionalFormatting sqref="M23">
    <cfRule type="cellIs" dxfId="2580" priority="61" operator="between">
      <formula>1.8</formula>
      <formula>1.999</formula>
    </cfRule>
    <cfRule type="cellIs" dxfId="2579" priority="62" operator="between">
      <formula>2.21</formula>
      <formula>2.4</formula>
    </cfRule>
    <cfRule type="expression" dxfId="2578" priority="63">
      <formula>M23&lt;1.8</formula>
    </cfRule>
    <cfRule type="expression" dxfId="2577" priority="64">
      <formula>M23&gt;2.4</formula>
    </cfRule>
  </conditionalFormatting>
  <conditionalFormatting sqref="M22">
    <cfRule type="cellIs" dxfId="2576" priority="57" operator="between">
      <formula>5</formula>
      <formula>5.499</formula>
    </cfRule>
    <cfRule type="cellIs" dxfId="2575" priority="58" operator="between">
      <formula>6.51</formula>
      <formula>8</formula>
    </cfRule>
    <cfRule type="expression" dxfId="2574" priority="59">
      <formula>M22&lt;5</formula>
    </cfRule>
    <cfRule type="expression" dxfId="2573" priority="60">
      <formula>M22&gt;8</formula>
    </cfRule>
  </conditionalFormatting>
  <conditionalFormatting sqref="Q23">
    <cfRule type="cellIs" dxfId="2572" priority="53" operator="between">
      <formula>1.8</formula>
      <formula>1.999</formula>
    </cfRule>
    <cfRule type="cellIs" dxfId="2571" priority="54" operator="between">
      <formula>2.21</formula>
      <formula>2.4</formula>
    </cfRule>
    <cfRule type="expression" dxfId="2570" priority="55">
      <formula>Q23&lt;1.8</formula>
    </cfRule>
    <cfRule type="expression" dxfId="2569" priority="56">
      <formula>Q23&gt;2.4</formula>
    </cfRule>
  </conditionalFormatting>
  <conditionalFormatting sqref="Q22">
    <cfRule type="cellIs" dxfId="2568" priority="49" operator="between">
      <formula>5</formula>
      <formula>5.499</formula>
    </cfRule>
    <cfRule type="cellIs" dxfId="2567" priority="50" operator="between">
      <formula>6.51</formula>
      <formula>8</formula>
    </cfRule>
    <cfRule type="expression" dxfId="2566" priority="51">
      <formula>Q22&lt;5</formula>
    </cfRule>
    <cfRule type="expression" dxfId="2565" priority="52">
      <formula>Q22&gt;8</formula>
    </cfRule>
  </conditionalFormatting>
  <conditionalFormatting sqref="I28">
    <cfRule type="cellIs" dxfId="2564" priority="45" operator="between">
      <formula>40</formula>
      <formula>44.99</formula>
    </cfRule>
    <cfRule type="cellIs" dxfId="2563" priority="46" operator="between">
      <formula>55.1</formula>
      <formula>60</formula>
    </cfRule>
    <cfRule type="expression" dxfId="2562" priority="47">
      <formula>I28&lt;40</formula>
    </cfRule>
    <cfRule type="expression" dxfId="2561" priority="48">
      <formula>I28&gt;60</formula>
    </cfRule>
  </conditionalFormatting>
  <conditionalFormatting sqref="I29">
    <cfRule type="cellIs" dxfId="2560" priority="41" operator="between">
      <formula>40</formula>
      <formula>44.99</formula>
    </cfRule>
    <cfRule type="cellIs" dxfId="2559" priority="42" operator="between">
      <formula>55.1</formula>
      <formula>60</formula>
    </cfRule>
    <cfRule type="expression" dxfId="2558" priority="43">
      <formula>I29&lt;40</formula>
    </cfRule>
    <cfRule type="expression" dxfId="2557" priority="44">
      <formula>I29&gt;60</formula>
    </cfRule>
  </conditionalFormatting>
  <conditionalFormatting sqref="K28">
    <cfRule type="cellIs" dxfId="2556" priority="37" operator="between">
      <formula>40</formula>
      <formula>44.99</formula>
    </cfRule>
    <cfRule type="cellIs" dxfId="2555" priority="38" operator="between">
      <formula>55.1</formula>
      <formula>60</formula>
    </cfRule>
    <cfRule type="expression" dxfId="2554" priority="39">
      <formula>K28&lt;40</formula>
    </cfRule>
    <cfRule type="expression" dxfId="2553" priority="40">
      <formula>K28&gt;60</formula>
    </cfRule>
  </conditionalFormatting>
  <conditionalFormatting sqref="K29">
    <cfRule type="cellIs" dxfId="2552" priority="33" operator="between">
      <formula>40</formula>
      <formula>44.99</formula>
    </cfRule>
    <cfRule type="cellIs" dxfId="2551" priority="34" operator="between">
      <formula>55.1</formula>
      <formula>60</formula>
    </cfRule>
    <cfRule type="expression" dxfId="2550" priority="35">
      <formula>K29&lt;40</formula>
    </cfRule>
    <cfRule type="expression" dxfId="2549" priority="36">
      <formula>K29&gt;60</formula>
    </cfRule>
  </conditionalFormatting>
  <conditionalFormatting sqref="M28">
    <cfRule type="cellIs" dxfId="2548" priority="29" operator="between">
      <formula>40</formula>
      <formula>44.99</formula>
    </cfRule>
    <cfRule type="cellIs" dxfId="2547" priority="30" operator="between">
      <formula>55.1</formula>
      <formula>60</formula>
    </cfRule>
    <cfRule type="expression" dxfId="2546" priority="31">
      <formula>M28&lt;40</formula>
    </cfRule>
    <cfRule type="expression" dxfId="2545" priority="32">
      <formula>M28&gt;60</formula>
    </cfRule>
  </conditionalFormatting>
  <conditionalFormatting sqref="M29">
    <cfRule type="cellIs" dxfId="2544" priority="25" operator="between">
      <formula>40</formula>
      <formula>44.99</formula>
    </cfRule>
    <cfRule type="cellIs" dxfId="2543" priority="26" operator="between">
      <formula>55.1</formula>
      <formula>60</formula>
    </cfRule>
    <cfRule type="expression" dxfId="2542" priority="27">
      <formula>M29&lt;40</formula>
    </cfRule>
    <cfRule type="expression" dxfId="2541" priority="28">
      <formula>M29&gt;60</formula>
    </cfRule>
  </conditionalFormatting>
  <conditionalFormatting sqref="O28">
    <cfRule type="cellIs" dxfId="2540" priority="21" operator="between">
      <formula>40</formula>
      <formula>44.99</formula>
    </cfRule>
    <cfRule type="cellIs" dxfId="2539" priority="22" operator="between">
      <formula>55.1</formula>
      <formula>60</formula>
    </cfRule>
    <cfRule type="expression" dxfId="2538" priority="23">
      <formula>O28&lt;40</formula>
    </cfRule>
    <cfRule type="expression" dxfId="2537" priority="24">
      <formula>O28&gt;60</formula>
    </cfRule>
  </conditionalFormatting>
  <conditionalFormatting sqref="O29">
    <cfRule type="cellIs" dxfId="2536" priority="17" operator="between">
      <formula>40</formula>
      <formula>44.99</formula>
    </cfRule>
    <cfRule type="cellIs" dxfId="2535" priority="18" operator="between">
      <formula>55.1</formula>
      <formula>60</formula>
    </cfRule>
    <cfRule type="expression" dxfId="2534" priority="19">
      <formula>O29&lt;40</formula>
    </cfRule>
    <cfRule type="expression" dxfId="2533" priority="20">
      <formula>O29&gt;60</formula>
    </cfRule>
  </conditionalFormatting>
  <conditionalFormatting sqref="Q28">
    <cfRule type="cellIs" dxfId="2532" priority="13" operator="between">
      <formula>40</formula>
      <formula>44.99</formula>
    </cfRule>
    <cfRule type="cellIs" dxfId="2531" priority="14" operator="between">
      <formula>55.1</formula>
      <formula>60</formula>
    </cfRule>
    <cfRule type="expression" dxfId="2530" priority="15">
      <formula>Q28&lt;40</formula>
    </cfRule>
    <cfRule type="expression" dxfId="2529" priority="16">
      <formula>Q28&gt;60</formula>
    </cfRule>
  </conditionalFormatting>
  <conditionalFormatting sqref="Q29">
    <cfRule type="cellIs" dxfId="2528" priority="9" operator="between">
      <formula>40</formula>
      <formula>44.99</formula>
    </cfRule>
    <cfRule type="cellIs" dxfId="2527" priority="10" operator="between">
      <formula>55.1</formula>
      <formula>60</formula>
    </cfRule>
    <cfRule type="expression" dxfId="2526" priority="11">
      <formula>Q29&lt;40</formula>
    </cfRule>
    <cfRule type="expression" dxfId="2525" priority="12">
      <formula>Q29&gt;60</formula>
    </cfRule>
  </conditionalFormatting>
  <conditionalFormatting sqref="S28">
    <cfRule type="cellIs" dxfId="2524" priority="5" operator="between">
      <formula>40</formula>
      <formula>44.99</formula>
    </cfRule>
    <cfRule type="cellIs" dxfId="2523" priority="6" operator="between">
      <formula>55.1</formula>
      <formula>60</formula>
    </cfRule>
    <cfRule type="expression" dxfId="2522" priority="7">
      <formula>S28&lt;40</formula>
    </cfRule>
    <cfRule type="expression" dxfId="2521" priority="8">
      <formula>S28&gt;60</formula>
    </cfRule>
  </conditionalFormatting>
  <conditionalFormatting sqref="S29">
    <cfRule type="cellIs" dxfId="2520" priority="1" operator="between">
      <formula>40</formula>
      <formula>44.99</formula>
    </cfRule>
    <cfRule type="cellIs" dxfId="2519" priority="2" operator="between">
      <formula>55.1</formula>
      <formula>60</formula>
    </cfRule>
    <cfRule type="expression" dxfId="2518" priority="3">
      <formula>S29&lt;40</formula>
    </cfRule>
    <cfRule type="expression" dxfId="2517"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0.xml><?xml version="1.0" encoding="utf-8"?>
<worksheet xmlns="http://schemas.openxmlformats.org/spreadsheetml/2006/main" xmlns:r="http://schemas.openxmlformats.org/officeDocument/2006/relationships">
  <sheetPr codeName="Sheet10">
    <tabColor rgb="FFFF0000"/>
  </sheetPr>
  <dimension ref="A1:AN46"/>
  <sheetViews>
    <sheetView topLeftCell="A7" zoomScale="55" zoomScaleNormal="55" workbookViewId="0">
      <selection activeCell="AD14" sqref="AD14"/>
    </sheetView>
  </sheetViews>
  <sheetFormatPr defaultRowHeight="16.5"/>
  <cols>
    <col min="1" max="1" width="5" style="8" customWidth="1"/>
    <col min="2" max="2" width="11.375" style="30" customWidth="1"/>
    <col min="3" max="3" width="6.75" style="30" customWidth="1"/>
    <col min="4" max="4" width="10.75" style="30" customWidth="1"/>
    <col min="5" max="5" width="2.75" style="30"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0" customWidth="1"/>
    <col min="25" max="25" width="10" style="30" customWidth="1"/>
    <col min="26" max="26" width="9.75" style="30" customWidth="1"/>
    <col min="27" max="27" width="3.25" style="30"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3446" t="s">
        <v>134</v>
      </c>
      <c r="B1" s="3446"/>
      <c r="C1" s="3446"/>
      <c r="D1" s="3446"/>
      <c r="E1" s="3446"/>
      <c r="F1" s="3446"/>
      <c r="G1" s="3446"/>
      <c r="H1" s="3446"/>
      <c r="I1" s="3446"/>
      <c r="J1" s="3446"/>
      <c r="K1" s="3446"/>
      <c r="L1" s="3446"/>
      <c r="M1" s="3446"/>
      <c r="N1" s="3446"/>
      <c r="O1" s="3446"/>
      <c r="P1" s="3446"/>
      <c r="Q1" s="3446"/>
      <c r="R1" s="3446"/>
      <c r="S1" s="1022"/>
      <c r="T1" s="1022"/>
      <c r="U1" s="1450" t="s">
        <v>1346</v>
      </c>
      <c r="W1" s="3446"/>
      <c r="X1" s="3446"/>
      <c r="Y1" s="3446"/>
      <c r="Z1" s="3446"/>
      <c r="AA1" s="3446"/>
      <c r="AM1" s="1451" t="s">
        <v>1347</v>
      </c>
    </row>
    <row r="2" spans="1:39" ht="48.75" customHeight="1">
      <c r="A2" s="3447" t="s">
        <v>135</v>
      </c>
      <c r="B2" s="3447"/>
      <c r="C2" s="3447"/>
      <c r="D2" s="3447"/>
      <c r="E2" s="3447"/>
      <c r="F2" s="3447"/>
      <c r="G2" s="3447"/>
      <c r="H2" s="3447"/>
      <c r="I2" s="3447"/>
      <c r="J2" s="3447"/>
      <c r="K2" s="3447"/>
      <c r="L2" s="3447"/>
      <c r="M2" s="3447"/>
      <c r="N2" s="3447"/>
      <c r="O2" s="3447"/>
      <c r="P2" s="3447"/>
      <c r="Q2" s="3447"/>
      <c r="R2" s="3448"/>
      <c r="S2" s="3366" t="s">
        <v>87</v>
      </c>
      <c r="T2" s="3200"/>
      <c r="U2" s="1443" t="s">
        <v>1341</v>
      </c>
      <c r="W2" s="3447"/>
      <c r="X2" s="3447"/>
      <c r="Y2" s="3447"/>
      <c r="Z2" s="3447"/>
      <c r="AA2" s="3447"/>
      <c r="AI2" s="1003"/>
      <c r="AJ2" s="1003"/>
      <c r="AK2" s="1003"/>
      <c r="AL2" s="1003"/>
      <c r="AM2" s="1003"/>
    </row>
    <row r="3" spans="1:39" ht="28.5" customHeight="1">
      <c r="A3" s="9"/>
      <c r="B3" s="1418" t="s">
        <v>126</v>
      </c>
      <c r="C3" s="1419"/>
      <c r="D3" s="1389"/>
      <c r="E3" s="1390"/>
      <c r="F3" s="2681" t="s">
        <v>1594</v>
      </c>
      <c r="G3" s="1812" t="str">
        <f>MENU!$AC$9</f>
        <v>Thứ 5,</v>
      </c>
      <c r="H3" s="3400" t="str">
        <f>MENU!$AD$9</f>
        <v>2024/08/01</v>
      </c>
      <c r="I3" s="3400"/>
      <c r="J3" s="1392"/>
      <c r="K3" s="1392"/>
      <c r="L3" s="28"/>
      <c r="M3" s="28"/>
      <c r="N3" s="28"/>
      <c r="O3" s="28"/>
      <c r="P3" s="28"/>
      <c r="Q3" s="28"/>
      <c r="R3" s="28"/>
      <c r="S3" s="3414" t="str">
        <f>'1. XL-1E kh'!$AD$3</f>
        <v>L.Yen</v>
      </c>
      <c r="T3" s="3415"/>
      <c r="U3" s="1428"/>
      <c r="W3" s="9"/>
      <c r="X3" s="1418" t="s">
        <v>126</v>
      </c>
      <c r="Y3" s="1419"/>
      <c r="Z3" s="1389"/>
      <c r="AA3" s="1390"/>
      <c r="AB3" s="1812" t="str">
        <f>MENU!$AC$9</f>
        <v>Thứ 5,</v>
      </c>
      <c r="AC3" s="3400" t="str">
        <f>MENU!$AD$9</f>
        <v>2024/08/01</v>
      </c>
      <c r="AD3" s="3400"/>
      <c r="AE3" s="1452"/>
      <c r="AF3" s="25"/>
      <c r="AG3" s="451"/>
      <c r="AH3" s="451"/>
    </row>
    <row r="4" spans="1:39" s="61" customFormat="1" ht="34.5" customHeight="1">
      <c r="A4" s="3431" t="s">
        <v>7</v>
      </c>
      <c r="B4" s="3143" t="s">
        <v>75</v>
      </c>
      <c r="C4" s="3144"/>
      <c r="D4" s="3144"/>
      <c r="E4" s="3145"/>
      <c r="F4" s="3395" t="s">
        <v>123</v>
      </c>
      <c r="G4" s="3180" t="s">
        <v>1296</v>
      </c>
      <c r="H4" s="3185" t="s">
        <v>1289</v>
      </c>
      <c r="I4" s="3201">
        <v>0.30208333333333331</v>
      </c>
      <c r="J4" s="3199"/>
      <c r="K4" s="3199"/>
      <c r="L4" s="3200"/>
      <c r="M4" s="3198">
        <v>0.46875</v>
      </c>
      <c r="N4" s="3199"/>
      <c r="O4" s="3199"/>
      <c r="P4" s="3200"/>
      <c r="Q4" s="3198">
        <v>0.63541666666666663</v>
      </c>
      <c r="R4" s="3199"/>
      <c r="S4" s="3199"/>
      <c r="T4" s="3200"/>
      <c r="U4" s="3216" t="s">
        <v>38</v>
      </c>
      <c r="W4" s="3431" t="s">
        <v>7</v>
      </c>
      <c r="X4" s="3143" t="s">
        <v>75</v>
      </c>
      <c r="Y4" s="3144"/>
      <c r="Z4" s="3144"/>
      <c r="AA4" s="3145"/>
      <c r="AB4" s="3198">
        <v>0.30208333333333331</v>
      </c>
      <c r="AC4" s="3201"/>
      <c r="AD4" s="3201"/>
      <c r="AE4" s="3365"/>
      <c r="AF4" s="3198">
        <v>0.46875</v>
      </c>
      <c r="AG4" s="3201"/>
      <c r="AH4" s="3201"/>
      <c r="AI4" s="3365"/>
      <c r="AJ4" s="3198">
        <v>0.63541666666666663</v>
      </c>
      <c r="AK4" s="3201"/>
      <c r="AL4" s="3201"/>
      <c r="AM4" s="3365"/>
    </row>
    <row r="5" spans="1:39" s="61" customFormat="1" ht="34.5" customHeight="1">
      <c r="A5" s="3431"/>
      <c r="B5" s="3146"/>
      <c r="C5" s="3147"/>
      <c r="D5" s="3147"/>
      <c r="E5" s="3148"/>
      <c r="F5" s="3396"/>
      <c r="G5" s="3181"/>
      <c r="H5" s="3186"/>
      <c r="I5" s="2220" t="s">
        <v>128</v>
      </c>
      <c r="J5" s="3170" t="s">
        <v>1</v>
      </c>
      <c r="K5" s="3171"/>
      <c r="L5" s="3172"/>
      <c r="M5" s="52" t="s">
        <v>128</v>
      </c>
      <c r="N5" s="3170" t="s">
        <v>1</v>
      </c>
      <c r="O5" s="3171"/>
      <c r="P5" s="3172"/>
      <c r="Q5" s="52" t="s">
        <v>128</v>
      </c>
      <c r="R5" s="3170" t="s">
        <v>1</v>
      </c>
      <c r="S5" s="3171"/>
      <c r="T5" s="3172"/>
      <c r="U5" s="3217"/>
      <c r="W5" s="3431"/>
      <c r="X5" s="3146"/>
      <c r="Y5" s="3147"/>
      <c r="Z5" s="3147"/>
      <c r="AA5" s="3148"/>
      <c r="AB5" s="3256" t="s">
        <v>1433</v>
      </c>
      <c r="AC5" s="3368"/>
      <c r="AD5" s="3367" t="s">
        <v>1466</v>
      </c>
      <c r="AE5" s="3200"/>
      <c r="AF5" s="3256" t="s">
        <v>1433</v>
      </c>
      <c r="AG5" s="3368"/>
      <c r="AH5" s="3367" t="s">
        <v>1466</v>
      </c>
      <c r="AI5" s="3200"/>
      <c r="AJ5" s="3256" t="s">
        <v>1433</v>
      </c>
      <c r="AK5" s="3368"/>
      <c r="AL5" s="3367" t="s">
        <v>1466</v>
      </c>
      <c r="AM5" s="3200"/>
    </row>
    <row r="6" spans="1:39" ht="36.75" customHeight="1">
      <c r="A6" s="3429">
        <v>1</v>
      </c>
      <c r="B6" s="3450" t="s">
        <v>137</v>
      </c>
      <c r="C6" s="3451"/>
      <c r="D6" s="3384" t="s">
        <v>229</v>
      </c>
      <c r="E6" s="3385"/>
      <c r="F6" s="1035" t="s">
        <v>4</v>
      </c>
      <c r="G6" s="897" t="str">
        <f>'XM.GUI MAIL'!$E$78</f>
        <v>40~60</v>
      </c>
      <c r="H6" s="2202" t="str">
        <f>'XM.GUI MAIL'!$F$78</f>
        <v>(50±5)</v>
      </c>
      <c r="I6" s="2205">
        <f>'XM.GUI MAIL'!I78</f>
        <v>48.026000000000003</v>
      </c>
      <c r="J6" s="54" t="s">
        <v>8</v>
      </c>
      <c r="K6" s="55">
        <f>'XM.GUI MAIL'!L78</f>
        <v>30.630557999999947</v>
      </c>
      <c r="L6" s="56" t="s">
        <v>9</v>
      </c>
      <c r="M6" s="1398">
        <f>'XM.GUI MAIL'!P78</f>
        <v>50.9465</v>
      </c>
      <c r="N6" s="54" t="s">
        <v>8</v>
      </c>
      <c r="O6" s="55">
        <f>'XM.GUI MAIL'!S78</f>
        <v>0</v>
      </c>
      <c r="P6" s="56" t="s">
        <v>9</v>
      </c>
      <c r="Q6" s="1398">
        <f>'XM.GUI MAIL'!W78</f>
        <v>51.271000000000001</v>
      </c>
      <c r="R6" s="62" t="s">
        <v>8</v>
      </c>
      <c r="S6" s="63">
        <f>'XM.GUI MAIL'!Z78</f>
        <v>0</v>
      </c>
      <c r="T6" s="29" t="s">
        <v>9</v>
      </c>
      <c r="U6" s="1021" t="s">
        <v>39</v>
      </c>
      <c r="W6" s="3429">
        <v>1</v>
      </c>
      <c r="X6" s="3450" t="s">
        <v>137</v>
      </c>
      <c r="Y6" s="3451"/>
      <c r="Z6" s="3384" t="s">
        <v>229</v>
      </c>
      <c r="AA6" s="3385"/>
      <c r="AB6" s="2018">
        <v>25</v>
      </c>
      <c r="AC6" s="1804" t="s">
        <v>9</v>
      </c>
      <c r="AD6" s="2903">
        <f>M6</f>
        <v>50.9465</v>
      </c>
      <c r="AE6" s="1746" t="s">
        <v>4</v>
      </c>
      <c r="AF6" s="2018"/>
      <c r="AG6" s="1804" t="s">
        <v>9</v>
      </c>
      <c r="AH6" s="1791"/>
      <c r="AI6" s="1746" t="s">
        <v>4</v>
      </c>
      <c r="AJ6" s="2018"/>
      <c r="AK6" s="1804" t="s">
        <v>9</v>
      </c>
      <c r="AL6" s="1791"/>
      <c r="AM6" s="1746" t="s">
        <v>4</v>
      </c>
    </row>
    <row r="7" spans="1:39" ht="36.75" customHeight="1">
      <c r="A7" s="3449"/>
      <c r="B7" s="3452"/>
      <c r="C7" s="3453"/>
      <c r="D7" s="3384" t="s">
        <v>230</v>
      </c>
      <c r="E7" s="3385"/>
      <c r="F7" s="1004"/>
      <c r="G7" s="897" t="s">
        <v>1260</v>
      </c>
      <c r="H7" s="2202"/>
      <c r="I7" s="2191"/>
      <c r="J7" s="54"/>
      <c r="K7" s="57">
        <f>K6/25*8.5</f>
        <v>10.414389719999981</v>
      </c>
      <c r="L7" s="56" t="s">
        <v>10</v>
      </c>
      <c r="M7" s="1676"/>
      <c r="N7" s="54"/>
      <c r="O7" s="57">
        <f>O6/25*8.5</f>
        <v>0</v>
      </c>
      <c r="P7" s="56" t="s">
        <v>10</v>
      </c>
      <c r="Q7" s="1676"/>
      <c r="R7" s="54"/>
      <c r="S7" s="57">
        <f>S6/25*8.5</f>
        <v>0</v>
      </c>
      <c r="T7" s="56" t="s">
        <v>10</v>
      </c>
      <c r="U7" s="1021"/>
      <c r="W7" s="3449"/>
      <c r="X7" s="3452"/>
      <c r="Y7" s="3453"/>
      <c r="Z7" s="3384" t="s">
        <v>230</v>
      </c>
      <c r="AA7" s="3385"/>
      <c r="AB7" s="2018">
        <v>9</v>
      </c>
      <c r="AC7" s="1804" t="s">
        <v>10</v>
      </c>
      <c r="AD7" s="1791"/>
      <c r="AE7" s="1805"/>
      <c r="AF7" s="2018"/>
      <c r="AG7" s="1804" t="s">
        <v>10</v>
      </c>
      <c r="AH7" s="1791"/>
      <c r="AI7" s="1805"/>
      <c r="AJ7" s="2018"/>
      <c r="AK7" s="1804" t="s">
        <v>10</v>
      </c>
      <c r="AL7" s="1791"/>
      <c r="AM7" s="1805"/>
    </row>
    <row r="8" spans="1:39" ht="36.75" customHeight="1">
      <c r="A8" s="3429">
        <v>2</v>
      </c>
      <c r="B8" s="3450" t="s">
        <v>138</v>
      </c>
      <c r="C8" s="3451"/>
      <c r="D8" s="3384" t="s">
        <v>229</v>
      </c>
      <c r="E8" s="3385"/>
      <c r="F8" s="1035" t="s">
        <v>4</v>
      </c>
      <c r="G8" s="897" t="str">
        <f>'XM.GUI MAIL'!$E$80</f>
        <v>40~60</v>
      </c>
      <c r="H8" s="2202" t="str">
        <f>'XM.GUI MAIL'!$F$80</f>
        <v>(50±5)</v>
      </c>
      <c r="I8" s="2205">
        <f>'XM.GUI MAIL'!I80</f>
        <v>49.648500000000006</v>
      </c>
      <c r="J8" s="54" t="s">
        <v>8</v>
      </c>
      <c r="K8" s="55">
        <f>'XM.GUI MAIL'!L80</f>
        <v>4.0334624999999358</v>
      </c>
      <c r="L8" s="56" t="s">
        <v>9</v>
      </c>
      <c r="M8" s="1398">
        <f>'XM.GUI MAIL'!P80</f>
        <v>50.297499999999999</v>
      </c>
      <c r="N8" s="54" t="s">
        <v>8</v>
      </c>
      <c r="O8" s="55">
        <f>'XM.GUI MAIL'!S80</f>
        <v>0</v>
      </c>
      <c r="P8" s="56" t="s">
        <v>9</v>
      </c>
      <c r="Q8" s="1398">
        <f>'XM.GUI MAIL'!W80</f>
        <v>50.297499999999999</v>
      </c>
      <c r="R8" s="62" t="s">
        <v>8</v>
      </c>
      <c r="S8" s="63">
        <f>'XM.GUI MAIL'!Z80</f>
        <v>0</v>
      </c>
      <c r="T8" s="29" t="s">
        <v>9</v>
      </c>
      <c r="U8" s="1021" t="s">
        <v>39</v>
      </c>
      <c r="W8" s="3429">
        <v>2</v>
      </c>
      <c r="X8" s="3450" t="s">
        <v>138</v>
      </c>
      <c r="Y8" s="3451"/>
      <c r="Z8" s="3384" t="s">
        <v>229</v>
      </c>
      <c r="AA8" s="3385"/>
      <c r="AB8" s="2018"/>
      <c r="AC8" s="1804" t="s">
        <v>9</v>
      </c>
      <c r="AD8" s="1791"/>
      <c r="AE8" s="1746" t="s">
        <v>4</v>
      </c>
      <c r="AF8" s="2018"/>
      <c r="AG8" s="1804" t="s">
        <v>9</v>
      </c>
      <c r="AH8" s="1791"/>
      <c r="AI8" s="1746" t="s">
        <v>4</v>
      </c>
      <c r="AJ8" s="2018"/>
      <c r="AK8" s="1804" t="s">
        <v>9</v>
      </c>
      <c r="AL8" s="1791"/>
      <c r="AM8" s="1746" t="s">
        <v>4</v>
      </c>
    </row>
    <row r="9" spans="1:39" ht="36.75" customHeight="1">
      <c r="A9" s="3449"/>
      <c r="B9" s="3452"/>
      <c r="C9" s="3453"/>
      <c r="D9" s="3384" t="s">
        <v>230</v>
      </c>
      <c r="E9" s="3385"/>
      <c r="F9" s="1004"/>
      <c r="G9" s="897" t="s">
        <v>1260</v>
      </c>
      <c r="H9" s="2202"/>
      <c r="I9" s="2191"/>
      <c r="J9" s="54"/>
      <c r="K9" s="57">
        <f>K8/25*8.5</f>
        <v>1.3713772499999783</v>
      </c>
      <c r="L9" s="56" t="s">
        <v>10</v>
      </c>
      <c r="M9" s="1676"/>
      <c r="N9" s="54"/>
      <c r="O9" s="57">
        <f>O8/25*8.5</f>
        <v>0</v>
      </c>
      <c r="P9" s="56" t="s">
        <v>10</v>
      </c>
      <c r="Q9" s="1676"/>
      <c r="R9" s="54"/>
      <c r="S9" s="57">
        <f>S8/25*8.5</f>
        <v>0</v>
      </c>
      <c r="T9" s="56" t="s">
        <v>10</v>
      </c>
      <c r="U9" s="1021"/>
      <c r="W9" s="3449"/>
      <c r="X9" s="3452"/>
      <c r="Y9" s="3453"/>
      <c r="Z9" s="3384" t="s">
        <v>230</v>
      </c>
      <c r="AA9" s="3385"/>
      <c r="AB9" s="2018"/>
      <c r="AC9" s="1804" t="s">
        <v>10</v>
      </c>
      <c r="AD9" s="1791"/>
      <c r="AE9" s="1805"/>
      <c r="AF9" s="2018"/>
      <c r="AG9" s="1804" t="s">
        <v>10</v>
      </c>
      <c r="AH9" s="1791"/>
      <c r="AI9" s="1805"/>
      <c r="AJ9" s="2018"/>
      <c r="AK9" s="1804" t="s">
        <v>10</v>
      </c>
      <c r="AL9" s="1791"/>
      <c r="AM9" s="1805"/>
    </row>
    <row r="10" spans="1:39" ht="36.75" customHeight="1">
      <c r="A10" s="3429">
        <v>3</v>
      </c>
      <c r="B10" s="3386" t="s">
        <v>139</v>
      </c>
      <c r="C10" s="3387"/>
      <c r="D10" s="3256" t="s">
        <v>231</v>
      </c>
      <c r="E10" s="3257" t="s">
        <v>231</v>
      </c>
      <c r="F10" s="1035" t="s">
        <v>4</v>
      </c>
      <c r="G10" s="897" t="str">
        <f>'XM.GUI MAIL'!$E$82</f>
        <v>50~70</v>
      </c>
      <c r="H10" s="2202" t="str">
        <f>'XM.GUI MAIL'!$F$82</f>
        <v>(60±5)</v>
      </c>
      <c r="I10" s="2205">
        <f>'XM.GUI MAIL'!I82</f>
        <v>61.446000000000005</v>
      </c>
      <c r="J10" s="54" t="s">
        <v>8</v>
      </c>
      <c r="K10" s="55">
        <f>'XM.GUI MAIL'!L82</f>
        <v>0</v>
      </c>
      <c r="L10" s="56" t="s">
        <v>9</v>
      </c>
      <c r="M10" s="1398">
        <f>'XM.GUI MAIL'!P82</f>
        <v>61.908000000000001</v>
      </c>
      <c r="N10" s="54" t="s">
        <v>8</v>
      </c>
      <c r="O10" s="55">
        <f>'XM.GUI MAIL'!S82</f>
        <v>0</v>
      </c>
      <c r="P10" s="56" t="s">
        <v>9</v>
      </c>
      <c r="Q10" s="1398">
        <f>'XM.GUI MAIL'!W82</f>
        <v>62.370000000000005</v>
      </c>
      <c r="R10" s="54" t="s">
        <v>8</v>
      </c>
      <c r="S10" s="55">
        <f>'XM.GUI MAIL'!Z82</f>
        <v>0</v>
      </c>
      <c r="T10" s="56" t="s">
        <v>9</v>
      </c>
      <c r="U10" s="1021" t="s">
        <v>39</v>
      </c>
      <c r="W10" s="3429">
        <v>3</v>
      </c>
      <c r="X10" s="3386" t="s">
        <v>139</v>
      </c>
      <c r="Y10" s="3387"/>
      <c r="Z10" s="3256" t="s">
        <v>231</v>
      </c>
      <c r="AA10" s="3257" t="s">
        <v>231</v>
      </c>
      <c r="AB10" s="2018">
        <v>3</v>
      </c>
      <c r="AC10" s="1804" t="s">
        <v>9</v>
      </c>
      <c r="AD10" s="2903">
        <f>M10</f>
        <v>61.908000000000001</v>
      </c>
      <c r="AE10" s="1746" t="s">
        <v>4</v>
      </c>
      <c r="AF10" s="2018"/>
      <c r="AG10" s="1804" t="s">
        <v>9</v>
      </c>
      <c r="AH10" s="1791"/>
      <c r="AI10" s="1746" t="s">
        <v>4</v>
      </c>
      <c r="AJ10" s="2018"/>
      <c r="AK10" s="1804" t="s">
        <v>9</v>
      </c>
      <c r="AL10" s="1791"/>
      <c r="AM10" s="1746" t="s">
        <v>4</v>
      </c>
    </row>
    <row r="11" spans="1:39" ht="36.75" customHeight="1">
      <c r="A11" s="3430"/>
      <c r="B11" s="3387"/>
      <c r="C11" s="3387"/>
      <c r="D11" s="3256" t="s">
        <v>232</v>
      </c>
      <c r="E11" s="3257" t="s">
        <v>232</v>
      </c>
      <c r="F11" s="1004"/>
      <c r="G11" s="897" t="s">
        <v>1261</v>
      </c>
      <c r="H11" s="2202"/>
      <c r="I11" s="2191"/>
      <c r="J11" s="54"/>
      <c r="K11" s="57">
        <f>K10/25*8</f>
        <v>0</v>
      </c>
      <c r="L11" s="56" t="s">
        <v>10</v>
      </c>
      <c r="M11" s="1676"/>
      <c r="N11" s="54"/>
      <c r="O11" s="57">
        <f>O10/25*8</f>
        <v>0</v>
      </c>
      <c r="P11" s="56" t="s">
        <v>10</v>
      </c>
      <c r="Q11" s="1676"/>
      <c r="R11" s="54"/>
      <c r="S11" s="57">
        <f>S10/25*8</f>
        <v>0</v>
      </c>
      <c r="T11" s="56" t="s">
        <v>10</v>
      </c>
      <c r="U11" s="1021"/>
      <c r="W11" s="3430"/>
      <c r="X11" s="3387"/>
      <c r="Y11" s="3387"/>
      <c r="Z11" s="3256" t="s">
        <v>232</v>
      </c>
      <c r="AA11" s="3257" t="s">
        <v>232</v>
      </c>
      <c r="AB11" s="2018">
        <v>1</v>
      </c>
      <c r="AC11" s="1804" t="s">
        <v>10</v>
      </c>
      <c r="AD11" s="1791"/>
      <c r="AE11" s="1805"/>
      <c r="AF11" s="2018"/>
      <c r="AG11" s="1804" t="s">
        <v>10</v>
      </c>
      <c r="AH11" s="1791"/>
      <c r="AI11" s="1805"/>
      <c r="AJ11" s="2018"/>
      <c r="AK11" s="1804" t="s">
        <v>10</v>
      </c>
      <c r="AL11" s="1791"/>
      <c r="AM11" s="1805"/>
    </row>
    <row r="12" spans="1:39" ht="36.75" customHeight="1">
      <c r="A12" s="3429">
        <v>4</v>
      </c>
      <c r="B12" s="3386" t="s">
        <v>140</v>
      </c>
      <c r="C12" s="3387"/>
      <c r="D12" s="3256" t="s">
        <v>231</v>
      </c>
      <c r="E12" s="3257" t="s">
        <v>231</v>
      </c>
      <c r="F12" s="1035" t="s">
        <v>4</v>
      </c>
      <c r="G12" s="897" t="str">
        <f>'XM.GUI MAIL'!$E$84</f>
        <v>50~70</v>
      </c>
      <c r="H12" s="2202" t="str">
        <f>'XM.GUI MAIL'!$F$84</f>
        <v>(60±5)</v>
      </c>
      <c r="I12" s="2205">
        <f>'XM.GUI MAIL'!I84</f>
        <v>59.598000000000006</v>
      </c>
      <c r="J12" s="54" t="s">
        <v>8</v>
      </c>
      <c r="K12" s="55">
        <f>'XM.GUI MAIL'!L84</f>
        <v>3.4845359999999475</v>
      </c>
      <c r="L12" s="56" t="s">
        <v>9</v>
      </c>
      <c r="M12" s="1398">
        <f>'XM.GUI MAIL'!P84</f>
        <v>60.753</v>
      </c>
      <c r="N12" s="54" t="s">
        <v>8</v>
      </c>
      <c r="O12" s="55">
        <f>'XM.GUI MAIL'!S84</f>
        <v>0</v>
      </c>
      <c r="P12" s="56" t="s">
        <v>9</v>
      </c>
      <c r="Q12" s="1398">
        <f>'XM.GUI MAIL'!W84</f>
        <v>61.215000000000003</v>
      </c>
      <c r="R12" s="54" t="s">
        <v>8</v>
      </c>
      <c r="S12" s="55">
        <f>'XM.GUI MAIL'!Z84</f>
        <v>0</v>
      </c>
      <c r="T12" s="56" t="s">
        <v>9</v>
      </c>
      <c r="U12" s="1021" t="s">
        <v>39</v>
      </c>
      <c r="W12" s="3429">
        <v>4</v>
      </c>
      <c r="X12" s="3386" t="s">
        <v>140</v>
      </c>
      <c r="Y12" s="3387"/>
      <c r="Z12" s="3256" t="s">
        <v>231</v>
      </c>
      <c r="AA12" s="3257" t="s">
        <v>231</v>
      </c>
      <c r="AB12" s="2018"/>
      <c r="AC12" s="1804" t="s">
        <v>9</v>
      </c>
      <c r="AD12" s="1791"/>
      <c r="AE12" s="1746" t="s">
        <v>4</v>
      </c>
      <c r="AF12" s="2018"/>
      <c r="AG12" s="1804" t="s">
        <v>9</v>
      </c>
      <c r="AH12" s="1791"/>
      <c r="AI12" s="1746" t="s">
        <v>4</v>
      </c>
      <c r="AJ12" s="2018"/>
      <c r="AK12" s="1804" t="s">
        <v>9</v>
      </c>
      <c r="AL12" s="1791"/>
      <c r="AM12" s="1746" t="s">
        <v>4</v>
      </c>
    </row>
    <row r="13" spans="1:39" ht="36.75" customHeight="1">
      <c r="A13" s="3430"/>
      <c r="B13" s="3387"/>
      <c r="C13" s="3387"/>
      <c r="D13" s="3256" t="s">
        <v>232</v>
      </c>
      <c r="E13" s="3257" t="s">
        <v>232</v>
      </c>
      <c r="F13" s="1004"/>
      <c r="G13" s="897" t="s">
        <v>1261</v>
      </c>
      <c r="H13" s="2202"/>
      <c r="I13" s="2191"/>
      <c r="J13" s="54"/>
      <c r="K13" s="57">
        <f>K12/25*8</f>
        <v>1.1150515199999831</v>
      </c>
      <c r="L13" s="56" t="s">
        <v>10</v>
      </c>
      <c r="M13" s="1676"/>
      <c r="N13" s="54"/>
      <c r="O13" s="57">
        <f>O12/25*8</f>
        <v>0</v>
      </c>
      <c r="P13" s="56" t="s">
        <v>10</v>
      </c>
      <c r="Q13" s="1676"/>
      <c r="R13" s="54"/>
      <c r="S13" s="57">
        <f>S12/25*8</f>
        <v>0</v>
      </c>
      <c r="T13" s="56" t="s">
        <v>10</v>
      </c>
      <c r="U13" s="1021"/>
      <c r="W13" s="3430"/>
      <c r="X13" s="3387"/>
      <c r="Y13" s="3387"/>
      <c r="Z13" s="3256" t="s">
        <v>232</v>
      </c>
      <c r="AA13" s="3257" t="s">
        <v>232</v>
      </c>
      <c r="AB13" s="2018"/>
      <c r="AC13" s="1804" t="s">
        <v>10</v>
      </c>
      <c r="AD13" s="1791"/>
      <c r="AE13" s="1805"/>
      <c r="AF13" s="2018"/>
      <c r="AG13" s="1804" t="s">
        <v>10</v>
      </c>
      <c r="AH13" s="1791"/>
      <c r="AI13" s="1805"/>
      <c r="AJ13" s="2018"/>
      <c r="AK13" s="1804" t="s">
        <v>10</v>
      </c>
      <c r="AL13" s="1791"/>
      <c r="AM13" s="1805"/>
    </row>
    <row r="14" spans="1:39" ht="36.75" customHeight="1">
      <c r="A14" s="3429">
        <v>5</v>
      </c>
      <c r="B14" s="3444" t="s">
        <v>1668</v>
      </c>
      <c r="C14" s="3441" t="s">
        <v>19</v>
      </c>
      <c r="D14" s="3442"/>
      <c r="E14" s="3443"/>
      <c r="F14" s="1035" t="s">
        <v>4</v>
      </c>
      <c r="G14" s="1354" t="str">
        <f>'XM.GUI MAIL'!$E$86</f>
        <v>135~ 145</v>
      </c>
      <c r="H14" s="2221" t="str">
        <f>'XM.GUI MAIL'!$F$86</f>
        <v>(140±5)</v>
      </c>
      <c r="I14" s="2207">
        <f>'XM.GUI MAIL'!I86</f>
        <v>142.4</v>
      </c>
      <c r="J14" s="54" t="s">
        <v>8</v>
      </c>
      <c r="K14" s="55">
        <f>'XM.GUI MAIL'!L86</f>
        <v>0</v>
      </c>
      <c r="L14" s="56" t="s">
        <v>9</v>
      </c>
      <c r="M14" s="77">
        <f>'XM.GUI MAIL'!P86</f>
        <v>143.19999999999999</v>
      </c>
      <c r="N14" s="1055" t="s">
        <v>8</v>
      </c>
      <c r="O14" s="55">
        <f>'XM.GUI MAIL'!S86</f>
        <v>0</v>
      </c>
      <c r="P14" s="56" t="s">
        <v>9</v>
      </c>
      <c r="Q14" s="77">
        <f>'XM.GUI MAIL'!W86</f>
        <v>138.80000000000001</v>
      </c>
      <c r="R14" s="1055" t="s">
        <v>8</v>
      </c>
      <c r="S14" s="55">
        <f>'XM.GUI MAIL'!Z86</f>
        <v>63.679199999999391</v>
      </c>
      <c r="T14" s="56" t="s">
        <v>9</v>
      </c>
      <c r="U14" s="1056" t="s">
        <v>40</v>
      </c>
      <c r="W14" s="3429">
        <v>5</v>
      </c>
      <c r="X14" s="3444" t="s">
        <v>112</v>
      </c>
      <c r="Y14" s="3441" t="s">
        <v>19</v>
      </c>
      <c r="Z14" s="3442"/>
      <c r="AA14" s="3443"/>
      <c r="AB14" s="2018"/>
      <c r="AC14" s="1804" t="s">
        <v>9</v>
      </c>
      <c r="AD14" s="1791"/>
      <c r="AE14" s="1746" t="s">
        <v>4</v>
      </c>
      <c r="AF14" s="2018"/>
      <c r="AG14" s="1804" t="s">
        <v>9</v>
      </c>
      <c r="AH14" s="1791"/>
      <c r="AI14" s="1746" t="s">
        <v>4</v>
      </c>
      <c r="AJ14" s="2018"/>
      <c r="AK14" s="1804" t="s">
        <v>9</v>
      </c>
      <c r="AL14" s="1791"/>
      <c r="AM14" s="1746" t="s">
        <v>4</v>
      </c>
    </row>
    <row r="15" spans="1:39" ht="36.75" customHeight="1">
      <c r="A15" s="3430"/>
      <c r="B15" s="3445"/>
      <c r="C15" s="3441" t="s">
        <v>20</v>
      </c>
      <c r="D15" s="3442"/>
      <c r="E15" s="3443"/>
      <c r="F15" s="1004"/>
      <c r="G15" s="1354" t="str">
        <f>'XM.GUI MAIL'!$E$87</f>
        <v>7~10</v>
      </c>
      <c r="H15" s="2221" t="str">
        <f>'XM.GUI MAIL'!$F$87</f>
        <v>(8.5±1)</v>
      </c>
      <c r="I15" s="2208">
        <f>'XM.GUI MAIL'!I87</f>
        <v>8.3849999999999998</v>
      </c>
      <c r="J15" s="62" t="s">
        <v>8</v>
      </c>
      <c r="K15" s="817">
        <f>'XM.GUI MAIL'!L87</f>
        <v>6.1025900000000108</v>
      </c>
      <c r="L15" s="1057" t="s">
        <v>9</v>
      </c>
      <c r="M15" s="1922">
        <f>'XM.GUI MAIL'!P87</f>
        <v>8.3849999999999998</v>
      </c>
      <c r="N15" s="816" t="s">
        <v>8</v>
      </c>
      <c r="O15" s="817">
        <f>'XM.GUI MAIL'!S87</f>
        <v>6.1025900000000108</v>
      </c>
      <c r="P15" s="1057" t="s">
        <v>9</v>
      </c>
      <c r="Q15" s="1922">
        <f>'XM.GUI MAIL'!W87</f>
        <v>8.4500000000000011</v>
      </c>
      <c r="R15" s="816" t="s">
        <v>8</v>
      </c>
      <c r="S15" s="817">
        <f>'XM.GUI MAIL'!Z87</f>
        <v>2.6532999999999434</v>
      </c>
      <c r="T15" s="1057" t="s">
        <v>9</v>
      </c>
      <c r="U15" s="1056" t="s">
        <v>41</v>
      </c>
      <c r="W15" s="3430"/>
      <c r="X15" s="3445"/>
      <c r="Y15" s="3441" t="s">
        <v>20</v>
      </c>
      <c r="Z15" s="3442"/>
      <c r="AA15" s="3443"/>
      <c r="AB15" s="2018"/>
      <c r="AC15" s="1804" t="s">
        <v>9</v>
      </c>
      <c r="AD15" s="1791"/>
      <c r="AE15" s="1805"/>
      <c r="AF15" s="2018"/>
      <c r="AG15" s="1804" t="s">
        <v>9</v>
      </c>
      <c r="AH15" s="1791"/>
      <c r="AI15" s="1805"/>
      <c r="AJ15" s="2018"/>
      <c r="AK15" s="1804" t="s">
        <v>9</v>
      </c>
      <c r="AL15" s="1791"/>
      <c r="AM15" s="1805"/>
    </row>
    <row r="16" spans="1:39" s="7" customFormat="1" ht="36.75" customHeight="1">
      <c r="A16" s="3429">
        <v>6</v>
      </c>
      <c r="B16" s="3435" t="s">
        <v>1142</v>
      </c>
      <c r="C16" s="3436"/>
      <c r="D16" s="3436"/>
      <c r="E16" s="3439"/>
      <c r="F16" s="76" t="s">
        <v>3</v>
      </c>
      <c r="G16" s="1354" t="str">
        <f>'XM.GUI MAIL'!$E$88</f>
        <v>5~8</v>
      </c>
      <c r="H16" s="2221" t="str">
        <f>'XM.GUI MAIL'!$F$88</f>
        <v>(6±1)</v>
      </c>
      <c r="I16" s="2209">
        <f>'XM.GUI MAIL'!I88</f>
        <v>6.7287950000000007</v>
      </c>
      <c r="J16" s="54" t="s">
        <v>8</v>
      </c>
      <c r="K16" s="55">
        <f>'XM.GUI MAIL'!L88</f>
        <v>0</v>
      </c>
      <c r="L16" s="56" t="s">
        <v>10</v>
      </c>
      <c r="M16" s="594">
        <f>'XM.GUI MAIL'!P88</f>
        <v>6.6864250000000007</v>
      </c>
      <c r="N16" s="1055" t="s">
        <v>8</v>
      </c>
      <c r="O16" s="55">
        <f>'XM.GUI MAIL'!S88</f>
        <v>0</v>
      </c>
      <c r="P16" s="56" t="s">
        <v>10</v>
      </c>
      <c r="Q16" s="594">
        <f>'XM.GUI MAIL'!W88</f>
        <v>6.6228700000000007</v>
      </c>
      <c r="R16" s="816" t="s">
        <v>8</v>
      </c>
      <c r="S16" s="817">
        <f>'XM.GUI MAIL'!Z88</f>
        <v>0</v>
      </c>
      <c r="T16" s="1058" t="s">
        <v>10</v>
      </c>
      <c r="U16" s="1056" t="s">
        <v>42</v>
      </c>
      <c r="V16" s="8"/>
      <c r="W16" s="3429">
        <v>6</v>
      </c>
      <c r="X16" s="3435" t="s">
        <v>1142</v>
      </c>
      <c r="Y16" s="3436"/>
      <c r="Z16" s="3436"/>
      <c r="AA16" s="3439"/>
      <c r="AB16" s="2018"/>
      <c r="AC16" s="1804" t="s">
        <v>10</v>
      </c>
      <c r="AD16" s="1791"/>
      <c r="AE16" s="1806" t="s">
        <v>3</v>
      </c>
      <c r="AF16" s="2018"/>
      <c r="AG16" s="1804" t="s">
        <v>10</v>
      </c>
      <c r="AH16" s="1791"/>
      <c r="AI16" s="1806" t="s">
        <v>3</v>
      </c>
      <c r="AJ16" s="2018"/>
      <c r="AK16" s="1804" t="s">
        <v>10</v>
      </c>
      <c r="AL16" s="1791"/>
      <c r="AM16" s="1806" t="s">
        <v>3</v>
      </c>
    </row>
    <row r="17" spans="1:39" ht="36.75" customHeight="1">
      <c r="A17" s="3430"/>
      <c r="B17" s="3437"/>
      <c r="C17" s="3438"/>
      <c r="D17" s="3438"/>
      <c r="E17" s="3440"/>
      <c r="F17" s="76" t="s">
        <v>5</v>
      </c>
      <c r="G17" s="1354" t="str">
        <f>'XM.GUI MAIL'!$E$89</f>
        <v>2.0~2.4</v>
      </c>
      <c r="H17" s="2221" t="str">
        <f>'XM.GUI MAIL'!$F$89</f>
        <v>(2.2±0.1)</v>
      </c>
      <c r="I17" s="2230">
        <f>'XM.GUI MAIL'!I89</f>
        <v>2.11</v>
      </c>
      <c r="J17" s="816"/>
      <c r="K17" s="817"/>
      <c r="L17" s="1058"/>
      <c r="M17" s="2228">
        <f>'XM.GUI MAIL'!P89</f>
        <v>2.1</v>
      </c>
      <c r="N17" s="816"/>
      <c r="O17" s="817"/>
      <c r="P17" s="1058"/>
      <c r="Q17" s="2228">
        <f>'XM.GUI MAIL'!W89</f>
        <v>2.14</v>
      </c>
      <c r="R17" s="816"/>
      <c r="S17" s="817"/>
      <c r="T17" s="1058"/>
      <c r="U17" s="93"/>
      <c r="W17" s="3430"/>
      <c r="X17" s="3437"/>
      <c r="Y17" s="3438"/>
      <c r="Z17" s="3438"/>
      <c r="AA17" s="3440"/>
      <c r="AB17" s="2018"/>
      <c r="AC17" s="1804"/>
      <c r="AD17" s="1791"/>
      <c r="AE17" s="1806" t="s">
        <v>5</v>
      </c>
      <c r="AF17" s="2018"/>
      <c r="AG17" s="1804"/>
      <c r="AH17" s="1791"/>
      <c r="AI17" s="1806" t="s">
        <v>5</v>
      </c>
      <c r="AJ17" s="2018"/>
      <c r="AK17" s="1804"/>
      <c r="AL17" s="1791"/>
      <c r="AM17" s="1806" t="s">
        <v>5</v>
      </c>
    </row>
    <row r="18" spans="1:39" ht="36.75" customHeight="1">
      <c r="A18" s="2449">
        <v>10</v>
      </c>
      <c r="B18" s="3239" t="s">
        <v>1592</v>
      </c>
      <c r="C18" s="3240"/>
      <c r="D18" s="3240"/>
      <c r="E18" s="3241"/>
      <c r="F18" s="76" t="s">
        <v>6</v>
      </c>
      <c r="G18" s="1006" t="str">
        <f>'XM.GUI MAIL'!E90</f>
        <v>40~50</v>
      </c>
      <c r="H18" s="2222" t="str">
        <f>'XM.GUI MAIL'!F90</f>
        <v>(45±5)</v>
      </c>
      <c r="I18" s="1747">
        <f>'XM.GUI MAIL'!I90</f>
        <v>0.3878125</v>
      </c>
      <c r="J18" s="62" t="s">
        <v>8</v>
      </c>
      <c r="K18" s="63">
        <f>'XM.GUI MAIL'!L90</f>
        <v>201.11437500000002</v>
      </c>
      <c r="L18" s="29" t="s">
        <v>10</v>
      </c>
      <c r="M18" s="1747">
        <f>'XM.GUI MAIL'!P90</f>
        <v>0.45624999999999999</v>
      </c>
      <c r="N18" s="62" t="s">
        <v>8</v>
      </c>
      <c r="O18" s="63">
        <f>'XM.GUI MAIL'!S90</f>
        <v>0</v>
      </c>
      <c r="P18" s="29" t="s">
        <v>10</v>
      </c>
      <c r="Q18" s="1747">
        <f>'XM.GUI MAIL'!W90</f>
        <v>0.49274999999999997</v>
      </c>
      <c r="R18" s="62" t="s">
        <v>8</v>
      </c>
      <c r="S18" s="63">
        <f>'XM.GUI MAIL'!Z90</f>
        <v>0</v>
      </c>
      <c r="T18" s="29" t="s">
        <v>10</v>
      </c>
      <c r="U18" s="2446" t="s">
        <v>44</v>
      </c>
      <c r="W18" s="2449">
        <v>9</v>
      </c>
      <c r="X18" s="3239" t="s">
        <v>1592</v>
      </c>
      <c r="Y18" s="3240"/>
      <c r="Z18" s="3240"/>
      <c r="AA18" s="3241"/>
      <c r="AB18" s="2018"/>
      <c r="AC18" s="1804" t="s">
        <v>10</v>
      </c>
      <c r="AD18" s="1791"/>
      <c r="AE18" s="1806" t="s">
        <v>6</v>
      </c>
      <c r="AF18" s="2018"/>
      <c r="AG18" s="1804" t="s">
        <v>10</v>
      </c>
      <c r="AH18" s="1791"/>
      <c r="AI18" s="1806" t="s">
        <v>6</v>
      </c>
      <c r="AJ18" s="2018"/>
      <c r="AK18" s="1804" t="s">
        <v>10</v>
      </c>
      <c r="AL18" s="1791"/>
      <c r="AM18" s="1806" t="s">
        <v>6</v>
      </c>
    </row>
    <row r="19" spans="1:39" ht="36.75" hidden="1" customHeight="1">
      <c r="A19" s="1023">
        <v>7</v>
      </c>
      <c r="B19" s="3264" t="s">
        <v>1586</v>
      </c>
      <c r="C19" s="3265"/>
      <c r="D19" s="3265"/>
      <c r="E19" s="3266"/>
      <c r="F19" s="76" t="s">
        <v>6</v>
      </c>
      <c r="G19" s="1006" t="str">
        <f>'XM.GUI MAIL'!E91</f>
        <v>10~20</v>
      </c>
      <c r="H19" s="2222" t="str">
        <f>'XM.GUI MAIL'!F91</f>
        <v>(15±5)</v>
      </c>
      <c r="I19" s="1736">
        <f>'XM.GUI MAIL'!I91</f>
        <v>0</v>
      </c>
      <c r="J19" s="62" t="s">
        <v>8</v>
      </c>
      <c r="K19" s="63">
        <f>'XM.GUI MAIL'!L91</f>
        <v>0</v>
      </c>
      <c r="L19" s="29" t="s">
        <v>10</v>
      </c>
      <c r="M19" s="1736">
        <f>'XM.GUI MAIL'!P91</f>
        <v>0</v>
      </c>
      <c r="N19" s="62"/>
      <c r="O19" s="63">
        <f>'XM.GUI MAIL'!S91</f>
        <v>0</v>
      </c>
      <c r="P19" s="29" t="s">
        <v>10</v>
      </c>
      <c r="Q19" s="1736">
        <f>'XM.GUI MAIL'!W91</f>
        <v>0</v>
      </c>
      <c r="R19" s="62"/>
      <c r="S19" s="63">
        <f>'XM.GUI MAIL'!Z91</f>
        <v>0</v>
      </c>
      <c r="T19" s="29" t="s">
        <v>10</v>
      </c>
      <c r="U19" s="1021"/>
      <c r="W19" s="1440">
        <v>7</v>
      </c>
      <c r="X19" s="3264" t="s">
        <v>1586</v>
      </c>
      <c r="Y19" s="3265"/>
      <c r="Z19" s="3265"/>
      <c r="AA19" s="3266"/>
      <c r="AB19" s="2018"/>
      <c r="AC19" s="1804"/>
      <c r="AD19" s="1791"/>
      <c r="AE19" s="1806" t="s">
        <v>6</v>
      </c>
      <c r="AF19" s="2018"/>
      <c r="AG19" s="1804"/>
      <c r="AH19" s="1791"/>
      <c r="AI19" s="1806" t="s">
        <v>6</v>
      </c>
      <c r="AJ19" s="2018"/>
      <c r="AK19" s="1804"/>
      <c r="AL19" s="1791"/>
      <c r="AM19" s="1806" t="s">
        <v>6</v>
      </c>
    </row>
    <row r="20" spans="1:39" ht="36.75" customHeight="1">
      <c r="A20" s="2261">
        <v>8</v>
      </c>
      <c r="B20" s="3239" t="s">
        <v>1584</v>
      </c>
      <c r="C20" s="3240"/>
      <c r="D20" s="3240"/>
      <c r="E20" s="3241"/>
      <c r="F20" s="76" t="s">
        <v>6</v>
      </c>
      <c r="G20" s="1006" t="str">
        <f>'XM.GUI MAIL'!E92</f>
        <v>40~50</v>
      </c>
      <c r="H20" s="2222" t="str">
        <f>'XM.GUI MAIL'!F92</f>
        <v>(45±5)</v>
      </c>
      <c r="I20" s="1747">
        <f>'XM.GUI MAIL'!I92</f>
        <v>0.44712499999999994</v>
      </c>
      <c r="J20" s="1404"/>
      <c r="K20" s="1405">
        <f>'XM.GUI MAIL'!L92</f>
        <v>9.6628750000002412</v>
      </c>
      <c r="L20" s="29" t="s">
        <v>10</v>
      </c>
      <c r="M20" s="1747">
        <f>'XM.GUI MAIL'!P92</f>
        <v>0.46993750000000001</v>
      </c>
      <c r="N20" s="1404"/>
      <c r="O20" s="1405">
        <f>'XM.GUI MAIL'!S92</f>
        <v>0</v>
      </c>
      <c r="P20" s="29" t="s">
        <v>10</v>
      </c>
      <c r="Q20" s="1747">
        <f>'XM.GUI MAIL'!W92</f>
        <v>0.48362500000000003</v>
      </c>
      <c r="R20" s="62"/>
      <c r="S20" s="63">
        <f>'XM.GUI MAIL'!Z92</f>
        <v>0</v>
      </c>
      <c r="T20" s="29" t="s">
        <v>10</v>
      </c>
      <c r="U20" s="2260"/>
      <c r="W20" s="2261">
        <v>7</v>
      </c>
      <c r="X20" s="3239" t="s">
        <v>1584</v>
      </c>
      <c r="Y20" s="3240"/>
      <c r="Z20" s="3240"/>
      <c r="AA20" s="3241"/>
      <c r="AB20" s="2018"/>
      <c r="AC20" s="1804"/>
      <c r="AD20" s="1791"/>
      <c r="AE20" s="1806" t="s">
        <v>6</v>
      </c>
      <c r="AF20" s="2018"/>
      <c r="AG20" s="1804"/>
      <c r="AH20" s="1791"/>
      <c r="AI20" s="1806" t="s">
        <v>6</v>
      </c>
      <c r="AJ20" s="2018"/>
      <c r="AK20" s="1804"/>
      <c r="AL20" s="1791"/>
      <c r="AM20" s="1806" t="s">
        <v>6</v>
      </c>
    </row>
    <row r="21" spans="1:39" ht="36.75" customHeight="1">
      <c r="A21" s="1023">
        <v>9</v>
      </c>
      <c r="B21" s="3239" t="s">
        <v>1585</v>
      </c>
      <c r="C21" s="3240"/>
      <c r="D21" s="3240"/>
      <c r="E21" s="3241"/>
      <c r="F21" s="76" t="s">
        <v>6</v>
      </c>
      <c r="G21" s="1006" t="str">
        <f>'XM.GUI MAIL'!E93</f>
        <v>40~50</v>
      </c>
      <c r="H21" s="2222" t="str">
        <f>'XM.GUI MAIL'!F93</f>
        <v>(45±5)</v>
      </c>
      <c r="I21" s="1747">
        <f>'XM.GUI MAIL'!I93</f>
        <v>0.45168749999999996</v>
      </c>
      <c r="J21" s="1404" t="s">
        <v>8</v>
      </c>
      <c r="K21" s="1405">
        <f>'XM.GUI MAIL'!L93</f>
        <v>0</v>
      </c>
      <c r="L21" s="1406" t="s">
        <v>10</v>
      </c>
      <c r="M21" s="1747">
        <f>'XM.GUI MAIL'!P93</f>
        <v>0.45624999999999999</v>
      </c>
      <c r="N21" s="1404" t="s">
        <v>8</v>
      </c>
      <c r="O21" s="1405">
        <f>'XM.GUI MAIL'!S93</f>
        <v>0</v>
      </c>
      <c r="P21" s="1406" t="s">
        <v>10</v>
      </c>
      <c r="Q21" s="1747">
        <f>'XM.GUI MAIL'!W93</f>
        <v>0.45624999999999999</v>
      </c>
      <c r="R21" s="62" t="s">
        <v>8</v>
      </c>
      <c r="S21" s="63">
        <f>'XM.GUI MAIL'!Z93</f>
        <v>0</v>
      </c>
      <c r="T21" s="29" t="s">
        <v>10</v>
      </c>
      <c r="U21" s="1007" t="s">
        <v>43</v>
      </c>
      <c r="W21" s="1440">
        <v>8</v>
      </c>
      <c r="X21" s="3454" t="s">
        <v>969</v>
      </c>
      <c r="Y21" s="3455"/>
      <c r="Z21" s="3455"/>
      <c r="AA21" s="3456"/>
      <c r="AB21" s="2018"/>
      <c r="AC21" s="1804" t="s">
        <v>10</v>
      </c>
      <c r="AD21" s="1791"/>
      <c r="AE21" s="1806" t="s">
        <v>6</v>
      </c>
      <c r="AF21" s="2018"/>
      <c r="AG21" s="1804" t="s">
        <v>10</v>
      </c>
      <c r="AH21" s="1791"/>
      <c r="AI21" s="1806" t="s">
        <v>6</v>
      </c>
      <c r="AJ21" s="2018"/>
      <c r="AK21" s="1804" t="s">
        <v>10</v>
      </c>
      <c r="AL21" s="1791"/>
      <c r="AM21" s="1806" t="s">
        <v>6</v>
      </c>
    </row>
    <row r="22" spans="1:39" ht="36.75" customHeight="1">
      <c r="A22" s="1023">
        <v>11</v>
      </c>
      <c r="B22" s="3432" t="s">
        <v>970</v>
      </c>
      <c r="C22" s="3433" t="s">
        <v>970</v>
      </c>
      <c r="D22" s="3433" t="s">
        <v>970</v>
      </c>
      <c r="E22" s="3434" t="s">
        <v>970</v>
      </c>
      <c r="F22" s="76" t="s">
        <v>6</v>
      </c>
      <c r="G22" s="1006" t="str">
        <f>'XM.GUI MAIL'!$E$94</f>
        <v>0.5~1.0</v>
      </c>
      <c r="H22" s="2222" t="str">
        <f>'XM.GUI MAIL'!$F$94</f>
        <v>(0.7±0.1)</v>
      </c>
      <c r="I22" s="1767">
        <f>'XM.GUI MAIL'!I94</f>
        <v>7.4340000000000005E-3</v>
      </c>
      <c r="J22" s="1404" t="s">
        <v>8</v>
      </c>
      <c r="K22" s="1409">
        <f>'XM.GUI MAIL'!L94</f>
        <v>0</v>
      </c>
      <c r="L22" s="1406" t="s">
        <v>10</v>
      </c>
      <c r="M22" s="1767">
        <f>'XM.GUI MAIL'!P94</f>
        <v>7.0559999999999998E-3</v>
      </c>
      <c r="N22" s="1404" t="s">
        <v>8</v>
      </c>
      <c r="O22" s="1409">
        <f>'XM.GUI MAIL'!S94</f>
        <v>0</v>
      </c>
      <c r="P22" s="1406" t="s">
        <v>10</v>
      </c>
      <c r="Q22" s="1767">
        <f>'XM.GUI MAIL'!W94</f>
        <v>7.3080000000000003E-3</v>
      </c>
      <c r="R22" s="62" t="s">
        <v>8</v>
      </c>
      <c r="S22" s="65">
        <f>'XM.GUI MAIL'!Z94</f>
        <v>0</v>
      </c>
      <c r="T22" s="67" t="s">
        <v>10</v>
      </c>
      <c r="U22" s="1021" t="s">
        <v>44</v>
      </c>
      <c r="W22" s="1440">
        <v>10</v>
      </c>
      <c r="X22" s="3432" t="s">
        <v>970</v>
      </c>
      <c r="Y22" s="3433" t="s">
        <v>970</v>
      </c>
      <c r="Z22" s="3433" t="s">
        <v>970</v>
      </c>
      <c r="AA22" s="3434" t="s">
        <v>970</v>
      </c>
      <c r="AB22" s="2018"/>
      <c r="AC22" s="1804" t="s">
        <v>10</v>
      </c>
      <c r="AD22" s="1791"/>
      <c r="AE22" s="1806" t="s">
        <v>6</v>
      </c>
      <c r="AF22" s="2018"/>
      <c r="AG22" s="1804" t="s">
        <v>10</v>
      </c>
      <c r="AH22" s="1791"/>
      <c r="AI22" s="1806" t="s">
        <v>6</v>
      </c>
      <c r="AJ22" s="2018"/>
      <c r="AK22" s="1804" t="s">
        <v>10</v>
      </c>
      <c r="AL22" s="1791"/>
      <c r="AM22" s="1806" t="s">
        <v>6</v>
      </c>
    </row>
    <row r="23" spans="1:39" s="19" customFormat="1" ht="30" customHeight="1">
      <c r="A23" s="3374">
        <v>12</v>
      </c>
      <c r="B23" s="3143" t="str">
        <f>'[7]XM.GUI MAIL'!$C$94</f>
        <v>Nồng độ   Cr2O3 （K) 三價鉻 
FINIDIP 124  (49)</v>
      </c>
      <c r="C23" s="3144"/>
      <c r="D23" s="3144"/>
      <c r="E23" s="3145"/>
      <c r="F23" s="2" t="s">
        <v>3</v>
      </c>
      <c r="G23" s="897" t="str">
        <f>'XM.GUI MAIL'!$E$95</f>
        <v>5~8</v>
      </c>
      <c r="H23" s="2202" t="str">
        <f>'XM.GUI MAIL'!$F$95</f>
        <v>(6±0.5)</v>
      </c>
      <c r="I23" s="2176">
        <f>'XM.GUI MAIL'!I95</f>
        <v>5.76</v>
      </c>
      <c r="J23" s="62" t="s">
        <v>8</v>
      </c>
      <c r="K23" s="65">
        <f>'XM.GUI MAIL'!L95</f>
        <v>8.9860042105263229</v>
      </c>
      <c r="L23" s="67" t="s">
        <v>10</v>
      </c>
      <c r="M23" s="2176">
        <f>'XM.GUI MAIL'!P95</f>
        <v>5.7200000000000006</v>
      </c>
      <c r="N23" s="62" t="s">
        <v>8</v>
      </c>
      <c r="O23" s="65">
        <f>'XM.GUI MAIL'!S95</f>
        <v>10.483671578947346</v>
      </c>
      <c r="P23" s="67" t="s">
        <v>10</v>
      </c>
      <c r="Q23" s="2176">
        <f>'XM.GUI MAIL'!W95</f>
        <v>5.7200000000000006</v>
      </c>
      <c r="R23" s="62" t="s">
        <v>8</v>
      </c>
      <c r="S23" s="65">
        <f>'XM.GUI MAIL'!Z95</f>
        <v>10.483671578947346</v>
      </c>
      <c r="T23" s="67" t="s">
        <v>10</v>
      </c>
      <c r="U23" s="270"/>
      <c r="V23" s="8"/>
      <c r="W23" s="3374">
        <v>11</v>
      </c>
      <c r="X23" s="3143" t="s">
        <v>73</v>
      </c>
      <c r="Y23" s="3144"/>
      <c r="Z23" s="3144"/>
      <c r="AA23" s="3145"/>
      <c r="AB23" s="2018"/>
      <c r="AC23" s="1804" t="s">
        <v>10</v>
      </c>
      <c r="AD23" s="1791"/>
      <c r="AE23" s="1807" t="s">
        <v>3</v>
      </c>
      <c r="AF23" s="2018"/>
      <c r="AG23" s="1804" t="s">
        <v>10</v>
      </c>
      <c r="AH23" s="1791"/>
      <c r="AI23" s="1807" t="s">
        <v>3</v>
      </c>
      <c r="AJ23" s="2018"/>
      <c r="AK23" s="1804" t="s">
        <v>10</v>
      </c>
      <c r="AL23" s="1791"/>
      <c r="AM23" s="1807" t="s">
        <v>3</v>
      </c>
    </row>
    <row r="24" spans="1:39" s="19" customFormat="1" ht="30" customHeight="1">
      <c r="A24" s="3375"/>
      <c r="B24" s="3416"/>
      <c r="C24" s="3407"/>
      <c r="D24" s="3407"/>
      <c r="E24" s="3408"/>
      <c r="F24" s="2" t="s">
        <v>5</v>
      </c>
      <c r="G24" s="897" t="str">
        <f>'XM.GUI MAIL'!$E$96</f>
        <v>1.8~2.4</v>
      </c>
      <c r="H24" s="2202" t="str">
        <f>'XM.GUI MAIL'!$F$96</f>
        <v>(2.1±0.1)</v>
      </c>
      <c r="I24" s="1761">
        <f>'XM.GUI MAIL'!I96</f>
        <v>2.0299999999999998</v>
      </c>
      <c r="J24" s="62" t="s">
        <v>8</v>
      </c>
      <c r="K24" s="65"/>
      <c r="L24" s="67"/>
      <c r="M24" s="1761">
        <f>'XM.GUI MAIL'!P96</f>
        <v>2</v>
      </c>
      <c r="N24" s="62" t="s">
        <v>8</v>
      </c>
      <c r="O24" s="65"/>
      <c r="P24" s="67"/>
      <c r="Q24" s="1761">
        <f>'XM.GUI MAIL'!W96</f>
        <v>2.0499999999999998</v>
      </c>
      <c r="R24" s="62" t="s">
        <v>8</v>
      </c>
      <c r="S24" s="65"/>
      <c r="T24" s="67"/>
      <c r="U24" s="270"/>
      <c r="W24" s="3375"/>
      <c r="X24" s="3146"/>
      <c r="Y24" s="3147"/>
      <c r="Z24" s="3147"/>
      <c r="AA24" s="3148"/>
      <c r="AB24" s="2019"/>
      <c r="AC24" s="1804"/>
      <c r="AD24" s="1795"/>
      <c r="AE24" s="1746"/>
      <c r="AF24" s="2019"/>
      <c r="AG24" s="1804"/>
      <c r="AH24" s="1795"/>
      <c r="AI24" s="1746"/>
      <c r="AJ24" s="2019"/>
      <c r="AK24" s="1804"/>
      <c r="AL24" s="1795"/>
      <c r="AM24" s="1746"/>
    </row>
    <row r="25" spans="1:39" s="19" customFormat="1" ht="33.75" hidden="1" customHeight="1">
      <c r="A25" s="1189"/>
      <c r="B25" s="3423" t="s">
        <v>1143</v>
      </c>
      <c r="C25" s="3424"/>
      <c r="D25" s="3424"/>
      <c r="E25" s="3425"/>
      <c r="F25" s="1188" t="s">
        <v>3</v>
      </c>
      <c r="G25" s="1327" t="str">
        <f>'XM.GUI MAIL'!$E$97</f>
        <v>8~16 %</v>
      </c>
      <c r="H25" s="1327"/>
      <c r="I25" s="1179" t="str">
        <f>'XM.GUI MAIL'!I97</f>
        <v/>
      </c>
      <c r="J25" s="1190" t="s">
        <v>8</v>
      </c>
      <c r="K25" s="1191" t="str">
        <f>'XM.GUI MAIL'!L97</f>
        <v/>
      </c>
      <c r="L25" s="1192"/>
      <c r="M25" s="1179" t="str">
        <f>'XM.GUI MAIL'!P97</f>
        <v/>
      </c>
      <c r="N25" s="1190" t="s">
        <v>8</v>
      </c>
      <c r="O25" s="1191" t="str">
        <f>'XM.GUI MAIL'!S97</f>
        <v/>
      </c>
      <c r="P25" s="1192"/>
      <c r="Q25" s="1179" t="str">
        <f>'XM.GUI MAIL'!W97</f>
        <v/>
      </c>
      <c r="R25" s="1190" t="s">
        <v>8</v>
      </c>
      <c r="S25" s="1191" t="str">
        <f>'XM.GUI MAIL'!Z97</f>
        <v/>
      </c>
      <c r="T25" s="1058"/>
      <c r="U25" s="93"/>
      <c r="W25" s="1189"/>
      <c r="X25" s="3423" t="s">
        <v>1143</v>
      </c>
      <c r="Y25" s="3424"/>
      <c r="Z25" s="3424"/>
      <c r="AA25" s="3425"/>
      <c r="AB25" s="1447"/>
      <c r="AC25" s="1447"/>
      <c r="AD25" s="1447"/>
      <c r="AE25" s="1447"/>
      <c r="AF25" s="1447"/>
      <c r="AG25" s="698"/>
      <c r="AH25" s="698"/>
    </row>
    <row r="26" spans="1:39" s="19" customFormat="1" ht="33.75" hidden="1" customHeight="1">
      <c r="A26" s="1189"/>
      <c r="B26" s="3426"/>
      <c r="C26" s="3427"/>
      <c r="D26" s="3427"/>
      <c r="E26" s="3428"/>
      <c r="F26" s="1188" t="s">
        <v>5</v>
      </c>
      <c r="G26" s="1327" t="str">
        <f>'XM.GUI MAIL'!$E$98</f>
        <v>1.8~2.4</v>
      </c>
      <c r="H26" s="1327"/>
      <c r="I26" s="1196">
        <f>'XM.GUI MAIL'!I98</f>
        <v>0</v>
      </c>
      <c r="J26" s="1190" t="s">
        <v>8</v>
      </c>
      <c r="K26" s="1193">
        <f>'XM.GUI MAIL'!L98</f>
        <v>0</v>
      </c>
      <c r="L26" s="1192"/>
      <c r="M26" s="1196">
        <f>'XM.GUI MAIL'!P98</f>
        <v>0</v>
      </c>
      <c r="N26" s="1190" t="s">
        <v>8</v>
      </c>
      <c r="O26" s="1193">
        <f>'XM.GUI MAIL'!S98</f>
        <v>0</v>
      </c>
      <c r="P26" s="1192"/>
      <c r="Q26" s="1196">
        <f>'XM.GUI MAIL'!W98</f>
        <v>0</v>
      </c>
      <c r="R26" s="1190" t="s">
        <v>8</v>
      </c>
      <c r="S26" s="1194"/>
      <c r="T26" s="1058"/>
      <c r="U26" s="93"/>
      <c r="W26" s="1189"/>
      <c r="X26" s="3426"/>
      <c r="Y26" s="3427"/>
      <c r="Z26" s="3427"/>
      <c r="AA26" s="3428"/>
      <c r="AB26" s="1447"/>
      <c r="AC26" s="1447"/>
      <c r="AD26" s="1447"/>
      <c r="AE26" s="1447"/>
      <c r="AF26" s="1447"/>
      <c r="AG26" s="698"/>
      <c r="AH26" s="698"/>
    </row>
    <row r="27" spans="1:39" ht="30" customHeight="1">
      <c r="A27" s="1023"/>
      <c r="B27" s="250"/>
      <c r="C27" s="251"/>
      <c r="D27" s="251"/>
      <c r="E27" s="251"/>
      <c r="F27" s="251"/>
      <c r="G27" s="2155" t="s">
        <v>2</v>
      </c>
      <c r="H27" s="987"/>
      <c r="I27" s="253"/>
      <c r="J27" s="251"/>
      <c r="K27" s="251"/>
      <c r="L27" s="251"/>
      <c r="M27" s="251"/>
      <c r="N27" s="251"/>
      <c r="O27" s="251"/>
      <c r="P27" s="251"/>
      <c r="Q27" s="251"/>
      <c r="R27" s="251"/>
      <c r="S27" s="251"/>
      <c r="T27" s="251"/>
      <c r="U27" s="252"/>
      <c r="W27" s="1440"/>
      <c r="X27" s="250"/>
      <c r="Y27" s="251"/>
      <c r="Z27" s="251"/>
      <c r="AA27" s="251"/>
      <c r="AB27" s="251"/>
      <c r="AC27" s="251"/>
      <c r="AD27" s="251"/>
      <c r="AE27" s="251"/>
      <c r="AF27" s="251"/>
      <c r="AG27" s="165"/>
      <c r="AH27" s="165"/>
    </row>
    <row r="28" spans="1:39" ht="36.75" customHeight="1">
      <c r="A28" s="1023" t="s">
        <v>7</v>
      </c>
      <c r="B28" s="3417" t="s">
        <v>21</v>
      </c>
      <c r="C28" s="3418"/>
      <c r="D28" s="3418"/>
      <c r="E28" s="3419"/>
      <c r="F28" s="74" t="s">
        <v>22</v>
      </c>
      <c r="G28" s="975" t="s">
        <v>1296</v>
      </c>
      <c r="H28" s="2204" t="s">
        <v>1289</v>
      </c>
      <c r="I28" s="3293" t="s">
        <v>24</v>
      </c>
      <c r="J28" s="3294"/>
      <c r="K28" s="3292" t="s">
        <v>25</v>
      </c>
      <c r="L28" s="3294"/>
      <c r="M28" s="3292" t="s">
        <v>24</v>
      </c>
      <c r="N28" s="3294"/>
      <c r="O28" s="3292" t="s">
        <v>25</v>
      </c>
      <c r="P28" s="3294"/>
      <c r="Q28" s="3292" t="s">
        <v>24</v>
      </c>
      <c r="R28" s="3294"/>
      <c r="S28" s="3292" t="s">
        <v>25</v>
      </c>
      <c r="T28" s="3294"/>
      <c r="U28" s="10"/>
      <c r="W28" s="1440" t="s">
        <v>7</v>
      </c>
      <c r="X28" s="3417" t="s">
        <v>21</v>
      </c>
      <c r="Y28" s="3418"/>
      <c r="Z28" s="3418"/>
      <c r="AA28" s="3419"/>
      <c r="AB28" s="3366" t="s">
        <v>1345</v>
      </c>
      <c r="AC28" s="3199"/>
      <c r="AD28" s="3199"/>
      <c r="AE28" s="3200"/>
      <c r="AF28" s="3366" t="s">
        <v>1345</v>
      </c>
      <c r="AG28" s="3199"/>
      <c r="AH28" s="3199"/>
      <c r="AI28" s="3200"/>
      <c r="AJ28" s="3366" t="s">
        <v>1345</v>
      </c>
      <c r="AK28" s="3199"/>
      <c r="AL28" s="3199"/>
      <c r="AM28" s="3200"/>
    </row>
    <row r="29" spans="1:39" ht="32.25" customHeight="1">
      <c r="A29" s="1023">
        <v>1</v>
      </c>
      <c r="B29" s="3417" t="s">
        <v>34</v>
      </c>
      <c r="C29" s="3418"/>
      <c r="D29" s="3418"/>
      <c r="E29" s="3419"/>
      <c r="F29" s="11" t="s">
        <v>26</v>
      </c>
      <c r="G29" s="1008" t="str">
        <f>'XM.GUI MAIL'!$E$105</f>
        <v>50~70</v>
      </c>
      <c r="H29" s="2206" t="str">
        <f>'XM.GUI MAIL'!$F$105</f>
        <v>(60±5)</v>
      </c>
      <c r="I29" s="3195">
        <f>'XM.GUI MAIL'!I105</f>
        <v>58</v>
      </c>
      <c r="J29" s="3121"/>
      <c r="K29" s="3121">
        <f>'XM.GUI MAIL'!L105</f>
        <v>58</v>
      </c>
      <c r="L29" s="3121"/>
      <c r="M29" s="3121">
        <f>'XM.GUI MAIL'!P105</f>
        <v>58</v>
      </c>
      <c r="N29" s="3121"/>
      <c r="O29" s="3121">
        <f>'XM.GUI MAIL'!S105</f>
        <v>58</v>
      </c>
      <c r="P29" s="3121"/>
      <c r="Q29" s="3121">
        <f>'XM.GUI MAIL'!W105</f>
        <v>58</v>
      </c>
      <c r="R29" s="3121"/>
      <c r="S29" s="3121">
        <f>'XM.GUI MAIL'!Z105</f>
        <v>58</v>
      </c>
      <c r="T29" s="3121"/>
      <c r="U29" s="1023"/>
      <c r="W29" s="1440">
        <v>1</v>
      </c>
      <c r="X29" s="3417" t="s">
        <v>34</v>
      </c>
      <c r="Y29" s="3418"/>
      <c r="Z29" s="3418"/>
      <c r="AA29" s="3419"/>
      <c r="AB29" s="1505"/>
      <c r="AC29" s="1787"/>
      <c r="AD29" s="1787"/>
      <c r="AE29" s="1506"/>
      <c r="AF29" s="1505"/>
      <c r="AG29" s="1787"/>
      <c r="AH29" s="1787"/>
      <c r="AI29" s="1506"/>
      <c r="AJ29" s="1505"/>
      <c r="AK29" s="1787"/>
      <c r="AL29" s="1787"/>
      <c r="AM29" s="1506"/>
    </row>
    <row r="30" spans="1:39" ht="32.25" customHeight="1">
      <c r="A30" s="1023">
        <v>2</v>
      </c>
      <c r="B30" s="3417" t="s">
        <v>35</v>
      </c>
      <c r="C30" s="3418"/>
      <c r="D30" s="3418"/>
      <c r="E30" s="3419"/>
      <c r="F30" s="11" t="s">
        <v>26</v>
      </c>
      <c r="G30" s="1008" t="str">
        <f>'XM.GUI MAIL'!$E$106</f>
        <v>50~70</v>
      </c>
      <c r="H30" s="2206" t="str">
        <f>'XM.GUI MAIL'!$F$106</f>
        <v>(60±5)</v>
      </c>
      <c r="I30" s="3195">
        <f>'XM.GUI MAIL'!I106</f>
        <v>58</v>
      </c>
      <c r="J30" s="3121"/>
      <c r="K30" s="3121">
        <f>'XM.GUI MAIL'!L106</f>
        <v>58</v>
      </c>
      <c r="L30" s="3121"/>
      <c r="M30" s="3121">
        <f>'XM.GUI MAIL'!P106</f>
        <v>58</v>
      </c>
      <c r="N30" s="3121"/>
      <c r="O30" s="3121">
        <f>'XM.GUI MAIL'!S106</f>
        <v>58</v>
      </c>
      <c r="P30" s="3121"/>
      <c r="Q30" s="3121">
        <f>'XM.GUI MAIL'!W106</f>
        <v>59</v>
      </c>
      <c r="R30" s="3121"/>
      <c r="S30" s="3121">
        <f>'XM.GUI MAIL'!Z106</f>
        <v>58</v>
      </c>
      <c r="T30" s="3121"/>
      <c r="U30" s="1023"/>
      <c r="W30" s="1440">
        <v>2</v>
      </c>
      <c r="X30" s="3417" t="s">
        <v>35</v>
      </c>
      <c r="Y30" s="3418"/>
      <c r="Z30" s="3418"/>
      <c r="AA30" s="3419"/>
      <c r="AB30" s="1505"/>
      <c r="AC30" s="1787"/>
      <c r="AD30" s="1787"/>
      <c r="AE30" s="1506"/>
      <c r="AF30" s="1505"/>
      <c r="AG30" s="1787"/>
      <c r="AH30" s="1787"/>
      <c r="AI30" s="1506"/>
      <c r="AJ30" s="1505"/>
      <c r="AK30" s="1787"/>
      <c r="AL30" s="1787"/>
      <c r="AM30" s="1506"/>
    </row>
    <row r="31" spans="1:39" ht="32.25" customHeight="1">
      <c r="A31" s="1023">
        <v>3</v>
      </c>
      <c r="B31" s="3417" t="s">
        <v>27</v>
      </c>
      <c r="C31" s="3418"/>
      <c r="D31" s="3418"/>
      <c r="E31" s="3419"/>
      <c r="F31" s="11" t="s">
        <v>26</v>
      </c>
      <c r="G31" s="1008" t="str">
        <f>'XM.GUI MAIL'!$E$107</f>
        <v>50~70</v>
      </c>
      <c r="H31" s="2206" t="str">
        <f>'XM.GUI MAIL'!$F$107</f>
        <v>(60±5)</v>
      </c>
      <c r="I31" s="3195">
        <f>'XM.GUI MAIL'!I107</f>
        <v>59</v>
      </c>
      <c r="J31" s="3121"/>
      <c r="K31" s="3121">
        <f>'XM.GUI MAIL'!L107</f>
        <v>58</v>
      </c>
      <c r="L31" s="3121"/>
      <c r="M31" s="3121">
        <f>'XM.GUI MAIL'!P107</f>
        <v>58</v>
      </c>
      <c r="N31" s="3121"/>
      <c r="O31" s="3121">
        <f>'XM.GUI MAIL'!S107</f>
        <v>59</v>
      </c>
      <c r="P31" s="3121"/>
      <c r="Q31" s="3121">
        <f>'XM.GUI MAIL'!W107</f>
        <v>59</v>
      </c>
      <c r="R31" s="3121"/>
      <c r="S31" s="3121">
        <f>'XM.GUI MAIL'!Z107</f>
        <v>58</v>
      </c>
      <c r="T31" s="3121"/>
      <c r="U31" s="1023"/>
      <c r="W31" s="1440">
        <v>3</v>
      </c>
      <c r="X31" s="3417" t="s">
        <v>27</v>
      </c>
      <c r="Y31" s="3418"/>
      <c r="Z31" s="3418"/>
      <c r="AA31" s="3419"/>
      <c r="AB31" s="1505"/>
      <c r="AC31" s="1787"/>
      <c r="AD31" s="1787"/>
      <c r="AE31" s="1506"/>
      <c r="AF31" s="1505"/>
      <c r="AG31" s="1787"/>
      <c r="AH31" s="1787"/>
      <c r="AI31" s="1506"/>
      <c r="AJ31" s="1505"/>
      <c r="AK31" s="1787"/>
      <c r="AL31" s="1787"/>
      <c r="AM31" s="1506"/>
    </row>
    <row r="32" spans="1:39" ht="32.25" customHeight="1">
      <c r="A32" s="1023">
        <v>4</v>
      </c>
      <c r="B32" s="3417" t="s">
        <v>28</v>
      </c>
      <c r="C32" s="3418"/>
      <c r="D32" s="3418"/>
      <c r="E32" s="3419"/>
      <c r="F32" s="11" t="s">
        <v>26</v>
      </c>
      <c r="G32" s="1008" t="str">
        <f>'XM.GUI MAIL'!$E$108</f>
        <v>50~70</v>
      </c>
      <c r="H32" s="2206" t="str">
        <f>'XM.GUI MAIL'!$F$108</f>
        <v>(60±5)</v>
      </c>
      <c r="I32" s="3195">
        <f>'XM.GUI MAIL'!I108</f>
        <v>59</v>
      </c>
      <c r="J32" s="3121"/>
      <c r="K32" s="3121">
        <f>'XM.GUI MAIL'!L108</f>
        <v>58</v>
      </c>
      <c r="L32" s="3121"/>
      <c r="M32" s="3121">
        <f>'XM.GUI MAIL'!P108</f>
        <v>59</v>
      </c>
      <c r="N32" s="3121"/>
      <c r="O32" s="3121">
        <f>'XM.GUI MAIL'!S108</f>
        <v>59</v>
      </c>
      <c r="P32" s="3121"/>
      <c r="Q32" s="3121">
        <f>'XM.GUI MAIL'!W108</f>
        <v>58</v>
      </c>
      <c r="R32" s="3121"/>
      <c r="S32" s="3121">
        <f>'XM.GUI MAIL'!Z108</f>
        <v>58</v>
      </c>
      <c r="T32" s="3121"/>
      <c r="U32" s="1023"/>
      <c r="W32" s="1440">
        <v>4</v>
      </c>
      <c r="X32" s="3417" t="s">
        <v>28</v>
      </c>
      <c r="Y32" s="3418"/>
      <c r="Z32" s="3418"/>
      <c r="AA32" s="3419"/>
      <c r="AB32" s="1505"/>
      <c r="AC32" s="1787"/>
      <c r="AD32" s="1787"/>
      <c r="AE32" s="1506"/>
      <c r="AF32" s="1505"/>
      <c r="AG32" s="1787"/>
      <c r="AH32" s="1787"/>
      <c r="AI32" s="1506"/>
      <c r="AJ32" s="1505"/>
      <c r="AK32" s="1787"/>
      <c r="AL32" s="1787"/>
      <c r="AM32" s="1506"/>
    </row>
    <row r="33" spans="1:40" ht="32.25" customHeight="1">
      <c r="A33" s="1023">
        <v>5</v>
      </c>
      <c r="B33" s="3417" t="s">
        <v>29</v>
      </c>
      <c r="C33" s="3418"/>
      <c r="D33" s="3418"/>
      <c r="E33" s="3419"/>
      <c r="F33" s="11" t="s">
        <v>26</v>
      </c>
      <c r="G33" s="1008" t="str">
        <f>'XM.GUI MAIL'!$E$109</f>
        <v>22~28</v>
      </c>
      <c r="H33" s="2206" t="str">
        <f>'XM.GUI MAIL'!$F$109</f>
        <v>(25±3)</v>
      </c>
      <c r="I33" s="3282">
        <f>'XM.GUI MAIL'!I109</f>
        <v>25</v>
      </c>
      <c r="J33" s="3283"/>
      <c r="K33" s="3283">
        <f>'XM.GUI MAIL'!L109</f>
        <v>24</v>
      </c>
      <c r="L33" s="3283"/>
      <c r="M33" s="3283">
        <f>'XM.GUI MAIL'!P109</f>
        <v>26</v>
      </c>
      <c r="N33" s="3283"/>
      <c r="O33" s="3283">
        <f>'XM.GUI MAIL'!S109</f>
        <v>25</v>
      </c>
      <c r="P33" s="3283"/>
      <c r="Q33" s="3283">
        <f>'XM.GUI MAIL'!W109</f>
        <v>25</v>
      </c>
      <c r="R33" s="3283"/>
      <c r="S33" s="3283">
        <f>'XM.GUI MAIL'!Z109</f>
        <v>24</v>
      </c>
      <c r="T33" s="3283"/>
      <c r="U33" s="1023"/>
      <c r="W33" s="1440">
        <v>5</v>
      </c>
      <c r="X33" s="3417" t="s">
        <v>29</v>
      </c>
      <c r="Y33" s="3418"/>
      <c r="Z33" s="3418"/>
      <c r="AA33" s="3419"/>
      <c r="AB33" s="1505"/>
      <c r="AC33" s="1787"/>
      <c r="AD33" s="1787"/>
      <c r="AE33" s="1506"/>
      <c r="AF33" s="1505"/>
      <c r="AG33" s="1787"/>
      <c r="AH33" s="1787"/>
      <c r="AI33" s="1506"/>
      <c r="AJ33" s="1505"/>
      <c r="AK33" s="1787"/>
      <c r="AL33" s="1787"/>
      <c r="AM33" s="1506"/>
    </row>
    <row r="34" spans="1:40" ht="32.25" customHeight="1">
      <c r="A34" s="1023">
        <v>6</v>
      </c>
      <c r="B34" s="3417" t="s">
        <v>1264</v>
      </c>
      <c r="C34" s="3418"/>
      <c r="D34" s="3418"/>
      <c r="E34" s="3419"/>
      <c r="F34" s="11" t="s">
        <v>26</v>
      </c>
      <c r="G34" s="1008" t="str">
        <f>'XM.GUI MAIL'!$E$110</f>
        <v>30~40</v>
      </c>
      <c r="H34" s="2206" t="str">
        <f>'XM.GUI MAIL'!$F$110</f>
        <v>(34±3)</v>
      </c>
      <c r="I34" s="3195">
        <f>'XM.GUI MAIL'!I110</f>
        <v>38</v>
      </c>
      <c r="J34" s="3121"/>
      <c r="K34" s="3121">
        <f>'XM.GUI MAIL'!L110</f>
        <v>38</v>
      </c>
      <c r="L34" s="3121"/>
      <c r="M34" s="3121">
        <f>'XM.GUI MAIL'!P110</f>
        <v>38</v>
      </c>
      <c r="N34" s="3121"/>
      <c r="O34" s="3121">
        <f>'XM.GUI MAIL'!S110</f>
        <v>38</v>
      </c>
      <c r="P34" s="3121"/>
      <c r="Q34" s="3121">
        <f>'XM.GUI MAIL'!W110</f>
        <v>37</v>
      </c>
      <c r="R34" s="3121"/>
      <c r="S34" s="3121">
        <f>'XM.GUI MAIL'!Z110</f>
        <v>37</v>
      </c>
      <c r="T34" s="3121"/>
      <c r="U34" s="1023"/>
      <c r="W34" s="1440">
        <v>6</v>
      </c>
      <c r="X34" s="3417" t="s">
        <v>1264</v>
      </c>
      <c r="Y34" s="3418"/>
      <c r="Z34" s="3418"/>
      <c r="AA34" s="3419"/>
      <c r="AB34" s="1505"/>
      <c r="AC34" s="1787"/>
      <c r="AD34" s="1787"/>
      <c r="AE34" s="1506"/>
      <c r="AF34" s="1505"/>
      <c r="AG34" s="1787"/>
      <c r="AH34" s="1787"/>
      <c r="AI34" s="1506"/>
      <c r="AJ34" s="1505"/>
      <c r="AK34" s="1787"/>
      <c r="AL34" s="1787"/>
      <c r="AM34" s="1506"/>
    </row>
    <row r="35" spans="1:40" ht="32.25" customHeight="1">
      <c r="A35" s="1023">
        <v>7</v>
      </c>
      <c r="B35" s="3417" t="s">
        <v>31</v>
      </c>
      <c r="C35" s="3418"/>
      <c r="D35" s="3418"/>
      <c r="E35" s="3419"/>
      <c r="F35" s="11" t="s">
        <v>26</v>
      </c>
      <c r="G35" s="1008" t="str">
        <f>'XM.GUI MAIL'!$E$111</f>
        <v>55~65</v>
      </c>
      <c r="H35" s="2206" t="str">
        <f>'XM.GUI MAIL'!$F$111</f>
        <v>(60±5)</v>
      </c>
      <c r="I35" s="3195">
        <f>'XM.GUI MAIL'!I111</f>
        <v>62</v>
      </c>
      <c r="J35" s="3121"/>
      <c r="K35" s="3121">
        <f>'XM.GUI MAIL'!L111</f>
        <v>61</v>
      </c>
      <c r="L35" s="3121"/>
      <c r="M35" s="3121">
        <f>'XM.GUI MAIL'!P111</f>
        <v>61</v>
      </c>
      <c r="N35" s="3121"/>
      <c r="O35" s="3121">
        <f>'XM.GUI MAIL'!S111</f>
        <v>62</v>
      </c>
      <c r="P35" s="3121"/>
      <c r="Q35" s="3121">
        <f>'XM.GUI MAIL'!W111</f>
        <v>58</v>
      </c>
      <c r="R35" s="3121"/>
      <c r="S35" s="3121">
        <f>'XM.GUI MAIL'!Z111</f>
        <v>57</v>
      </c>
      <c r="T35" s="3121"/>
      <c r="U35" s="1023"/>
      <c r="W35" s="1440">
        <v>7</v>
      </c>
      <c r="X35" s="3417" t="s">
        <v>31</v>
      </c>
      <c r="Y35" s="3418"/>
      <c r="Z35" s="3418"/>
      <c r="AA35" s="3419"/>
      <c r="AB35" s="1505"/>
      <c r="AC35" s="1787"/>
      <c r="AD35" s="1787"/>
      <c r="AE35" s="1506"/>
      <c r="AF35" s="1505"/>
      <c r="AG35" s="1787"/>
      <c r="AH35" s="1787"/>
      <c r="AI35" s="1506"/>
      <c r="AJ35" s="1505"/>
      <c r="AK35" s="1787"/>
      <c r="AL35" s="1787"/>
      <c r="AM35" s="1506"/>
    </row>
    <row r="36" spans="1:40" ht="32.25" customHeight="1">
      <c r="A36" s="1023">
        <v>8</v>
      </c>
      <c r="B36" s="3417" t="s">
        <v>32</v>
      </c>
      <c r="C36" s="3418"/>
      <c r="D36" s="3418"/>
      <c r="E36" s="3419"/>
      <c r="F36" s="11" t="s">
        <v>26</v>
      </c>
      <c r="G36" s="1008" t="str">
        <f>'XM.GUI MAIL'!$E$112</f>
        <v>80~100</v>
      </c>
      <c r="H36" s="2206" t="str">
        <f>'XM.GUI MAIL'!$F$112</f>
        <v>(90±5)</v>
      </c>
      <c r="I36" s="3228" t="s">
        <v>46</v>
      </c>
      <c r="J36" s="3284"/>
      <c r="K36" s="3121">
        <f>'XM.GUI MAIL'!L112</f>
        <v>93</v>
      </c>
      <c r="L36" s="3121"/>
      <c r="M36" s="3284" t="s">
        <v>46</v>
      </c>
      <c r="N36" s="3284"/>
      <c r="O36" s="3121">
        <f>'XM.GUI MAIL'!S112</f>
        <v>92</v>
      </c>
      <c r="P36" s="3121"/>
      <c r="Q36" s="3284" t="s">
        <v>46</v>
      </c>
      <c r="R36" s="3284"/>
      <c r="S36" s="3121">
        <f>'XM.GUI MAIL'!Z112</f>
        <v>92</v>
      </c>
      <c r="T36" s="3121"/>
      <c r="U36" s="1023"/>
      <c r="W36" s="1440">
        <v>8</v>
      </c>
      <c r="X36" s="3417" t="s">
        <v>32</v>
      </c>
      <c r="Y36" s="3418"/>
      <c r="Z36" s="3418"/>
      <c r="AA36" s="3419"/>
      <c r="AB36" s="1505"/>
      <c r="AC36" s="1787"/>
      <c r="AD36" s="1787"/>
      <c r="AE36" s="1506"/>
      <c r="AF36" s="1505"/>
      <c r="AG36" s="1787"/>
      <c r="AH36" s="1787"/>
      <c r="AI36" s="1506"/>
      <c r="AJ36" s="1505"/>
      <c r="AK36" s="1787"/>
      <c r="AL36" s="1787"/>
      <c r="AM36" s="1506"/>
    </row>
    <row r="37" spans="1:40" ht="32.25" customHeight="1">
      <c r="A37" s="2149"/>
      <c r="B37" s="3417" t="s">
        <v>1274</v>
      </c>
      <c r="C37" s="3418"/>
      <c r="D37" s="3418"/>
      <c r="E37" s="3419"/>
      <c r="F37" s="11" t="s">
        <v>26</v>
      </c>
      <c r="G37" s="1008" t="str">
        <f>'XM.GUI MAIL'!$E$113</f>
        <v>40~60</v>
      </c>
      <c r="H37" s="2206" t="str">
        <f>'XM.GUI MAIL'!$F$113</f>
        <v>(50±10)</v>
      </c>
      <c r="I37" s="3276">
        <f>'XM.GUI MAIL'!I113</f>
        <v>56</v>
      </c>
      <c r="J37" s="3277"/>
      <c r="K37" s="3277">
        <f>'XM.GUI MAIL'!L113</f>
        <v>55</v>
      </c>
      <c r="L37" s="3277"/>
      <c r="M37" s="3277">
        <f>'XM.GUI MAIL'!P113</f>
        <v>56</v>
      </c>
      <c r="N37" s="3277"/>
      <c r="O37" s="3277">
        <f>'XM.GUI MAIL'!S113</f>
        <v>56</v>
      </c>
      <c r="P37" s="3277"/>
      <c r="Q37" s="3277">
        <f>'XM.GUI MAIL'!W113</f>
        <v>56</v>
      </c>
      <c r="R37" s="3277"/>
      <c r="S37" s="3277">
        <f>'XM.GUI MAIL'!Z113</f>
        <v>55</v>
      </c>
      <c r="T37" s="3277"/>
      <c r="U37" s="895"/>
      <c r="W37" s="2149"/>
      <c r="X37" s="3417" t="s">
        <v>1274</v>
      </c>
      <c r="Y37" s="3418"/>
      <c r="Z37" s="3418"/>
      <c r="AA37" s="3419"/>
      <c r="AB37" s="2150"/>
      <c r="AC37" s="2151"/>
      <c r="AD37" s="2151"/>
      <c r="AE37" s="1506"/>
      <c r="AF37" s="2435"/>
      <c r="AG37" s="2436"/>
      <c r="AH37" s="2436"/>
      <c r="AI37" s="1506"/>
      <c r="AJ37" s="2435"/>
      <c r="AK37" s="2436"/>
      <c r="AL37" s="2436"/>
      <c r="AM37" s="1506"/>
    </row>
    <row r="38" spans="1:40" ht="32.25" customHeight="1">
      <c r="A38" s="2149"/>
      <c r="B38" s="3325" t="s">
        <v>1277</v>
      </c>
      <c r="C38" s="3326"/>
      <c r="D38" s="3326"/>
      <c r="E38" s="3327"/>
      <c r="F38" s="11" t="s">
        <v>26</v>
      </c>
      <c r="G38" s="1008" t="str">
        <f>'XM.GUI MAIL'!$E$114</f>
        <v>50~70</v>
      </c>
      <c r="H38" s="2206" t="str">
        <f>'XM.GUI MAIL'!$F$114</f>
        <v>(60±10)</v>
      </c>
      <c r="I38" s="3276">
        <f>'XM.GUI MAIL'!I114</f>
        <v>62</v>
      </c>
      <c r="J38" s="3277"/>
      <c r="K38" s="3277">
        <f>'XM.GUI MAIL'!L114</f>
        <v>63</v>
      </c>
      <c r="L38" s="3277"/>
      <c r="M38" s="3277">
        <f>'XM.GUI MAIL'!P114</f>
        <v>62</v>
      </c>
      <c r="N38" s="3277"/>
      <c r="O38" s="3277">
        <f>'XM.GUI MAIL'!S114</f>
        <v>62</v>
      </c>
      <c r="P38" s="3277"/>
      <c r="Q38" s="3277">
        <f>'XM.GUI MAIL'!W114</f>
        <v>62</v>
      </c>
      <c r="R38" s="3277"/>
      <c r="S38" s="3277">
        <f>'XM.GUI MAIL'!Z114</f>
        <v>63</v>
      </c>
      <c r="T38" s="3277"/>
      <c r="U38" s="895"/>
      <c r="W38" s="2149"/>
      <c r="X38" s="2146"/>
      <c r="Y38" s="2147"/>
      <c r="Z38" s="2147"/>
      <c r="AA38" s="2148"/>
      <c r="AB38" s="2150"/>
      <c r="AC38" s="2151"/>
      <c r="AD38" s="2151"/>
      <c r="AE38" s="1506"/>
      <c r="AF38" s="2431"/>
      <c r="AG38" s="2426"/>
      <c r="AH38" s="2426"/>
      <c r="AI38" s="2434"/>
      <c r="AJ38" s="2431"/>
      <c r="AK38" s="2426"/>
      <c r="AL38" s="2426"/>
      <c r="AM38" s="2434"/>
    </row>
    <row r="39" spans="1:40" ht="32.25" hidden="1" customHeight="1">
      <c r="A39" s="1023">
        <v>9</v>
      </c>
      <c r="B39" s="3417" t="s">
        <v>979</v>
      </c>
      <c r="C39" s="3418"/>
      <c r="D39" s="3418"/>
      <c r="E39" s="3419"/>
      <c r="F39" s="11" t="s">
        <v>26</v>
      </c>
      <c r="G39" s="1008" t="str">
        <f>'XM.GUI MAIL'!$E$115</f>
        <v>20~30</v>
      </c>
      <c r="H39" s="2206" t="str">
        <f>'XM.GUI MAIL'!$F$115</f>
        <v>20~30</v>
      </c>
      <c r="I39" s="3288">
        <f>'XM.GUI MAIL'!I115</f>
        <v>0</v>
      </c>
      <c r="J39" s="3088"/>
      <c r="K39" s="3090">
        <f>'XM.GUI MAIL'!L115</f>
        <v>0</v>
      </c>
      <c r="L39" s="3088"/>
      <c r="M39" s="3090">
        <f>'XM.GUI MAIL'!P115</f>
        <v>0</v>
      </c>
      <c r="N39" s="3088"/>
      <c r="O39" s="3090">
        <f>'XM.GUI MAIL'!S115</f>
        <v>0</v>
      </c>
      <c r="P39" s="3088"/>
      <c r="Q39" s="3090">
        <f>'XM.GUI MAIL'!W115</f>
        <v>0</v>
      </c>
      <c r="R39" s="3088"/>
      <c r="S39" s="3090">
        <f>'XM.GUI MAIL'!Z115</f>
        <v>0</v>
      </c>
      <c r="T39" s="3088"/>
      <c r="U39" s="895"/>
      <c r="W39" s="1440">
        <v>9</v>
      </c>
      <c r="X39" s="3417" t="s">
        <v>979</v>
      </c>
      <c r="Y39" s="3418"/>
      <c r="Z39" s="3418"/>
      <c r="AA39" s="3419"/>
      <c r="AB39" s="1505"/>
      <c r="AC39" s="1787"/>
      <c r="AD39" s="1787"/>
      <c r="AE39" s="1506"/>
      <c r="AF39" s="2145"/>
      <c r="AG39" s="2144"/>
      <c r="AH39" s="1803"/>
      <c r="AI39" s="1507"/>
      <c r="AJ39" s="1501"/>
      <c r="AK39" s="1784"/>
      <c r="AL39" s="1784"/>
      <c r="AM39" s="1507"/>
    </row>
    <row r="40" spans="1:40" ht="33.75" hidden="1" customHeight="1">
      <c r="A40" s="1349"/>
      <c r="B40" s="3420" t="s">
        <v>1268</v>
      </c>
      <c r="C40" s="3421"/>
      <c r="D40" s="3421"/>
      <c r="E40" s="3422"/>
      <c r="F40" s="11" t="s">
        <v>26</v>
      </c>
      <c r="G40" s="1008" t="str">
        <f>'XM.GUI MAIL'!$E$116</f>
        <v>35~45</v>
      </c>
      <c r="H40" s="1395"/>
      <c r="I40" s="3098">
        <f>'XM.GUI MAIL'!I116</f>
        <v>0</v>
      </c>
      <c r="J40" s="3099"/>
      <c r="K40" s="3098">
        <f>'XM.GUI MAIL'!L116</f>
        <v>0</v>
      </c>
      <c r="L40" s="3099"/>
      <c r="M40" s="3098">
        <f>'XM.GUI MAIL'!P116</f>
        <v>0</v>
      </c>
      <c r="N40" s="3099"/>
      <c r="O40" s="3098">
        <f>'XM.GUI MAIL'!S116</f>
        <v>0</v>
      </c>
      <c r="P40" s="3099"/>
      <c r="Q40" s="3098">
        <f>'XM.GUI MAIL'!W116</f>
        <v>0</v>
      </c>
      <c r="R40" s="3099"/>
      <c r="S40" s="3098">
        <f>'XM.GUI MAIL'!Z116</f>
        <v>0</v>
      </c>
      <c r="T40" s="3099"/>
      <c r="U40" s="895"/>
      <c r="W40" s="1440"/>
      <c r="X40" s="3420" t="s">
        <v>1267</v>
      </c>
      <c r="Y40" s="3421"/>
      <c r="Z40" s="3421"/>
      <c r="AA40" s="3422"/>
      <c r="AB40" s="1447"/>
      <c r="AC40" s="1447"/>
      <c r="AD40" s="1447"/>
      <c r="AE40" s="1447"/>
      <c r="AF40" s="2154"/>
      <c r="AG40" s="698"/>
      <c r="AH40" s="698"/>
    </row>
    <row r="41" spans="1:40" ht="34.5" customHeight="1">
      <c r="A41" s="1023"/>
      <c r="B41" s="250"/>
      <c r="C41" s="251"/>
      <c r="D41" s="251"/>
      <c r="E41" s="251"/>
      <c r="F41" s="251"/>
      <c r="G41" s="2155" t="s">
        <v>223</v>
      </c>
      <c r="H41" s="987"/>
      <c r="I41" s="253"/>
      <c r="J41" s="251"/>
      <c r="K41" s="251"/>
      <c r="L41" s="251"/>
      <c r="M41" s="251"/>
      <c r="N41" s="251"/>
      <c r="O41" s="251"/>
      <c r="P41" s="251"/>
      <c r="Q41" s="251"/>
      <c r="R41" s="251"/>
      <c r="S41" s="251"/>
      <c r="T41" s="251"/>
      <c r="U41" s="252"/>
      <c r="W41" s="1440"/>
      <c r="X41" s="250"/>
      <c r="Y41" s="251"/>
      <c r="Z41" s="251"/>
      <c r="AA41" s="251"/>
      <c r="AB41" s="251"/>
      <c r="AC41" s="251"/>
      <c r="AD41" s="251"/>
      <c r="AE41" s="251"/>
      <c r="AF41" s="251"/>
      <c r="AG41" s="165"/>
      <c r="AH41" s="165"/>
    </row>
    <row r="42" spans="1:40" ht="44.25" customHeight="1">
      <c r="A42" s="1023" t="s">
        <v>7</v>
      </c>
      <c r="B42" s="3417" t="s">
        <v>33</v>
      </c>
      <c r="C42" s="3418"/>
      <c r="D42" s="3418"/>
      <c r="E42" s="3419"/>
      <c r="F42" s="74" t="s">
        <v>18</v>
      </c>
      <c r="G42" s="975" t="s">
        <v>1296</v>
      </c>
      <c r="H42" s="2204" t="s">
        <v>1289</v>
      </c>
      <c r="I42" s="3293" t="s">
        <v>141</v>
      </c>
      <c r="J42" s="3293"/>
      <c r="K42" s="3293"/>
      <c r="L42" s="3294"/>
      <c r="M42" s="3292" t="s">
        <v>141</v>
      </c>
      <c r="N42" s="3293"/>
      <c r="O42" s="3293"/>
      <c r="P42" s="3294"/>
      <c r="Q42" s="3292" t="s">
        <v>141</v>
      </c>
      <c r="R42" s="3293"/>
      <c r="S42" s="3293"/>
      <c r="T42" s="3294"/>
      <c r="U42" s="10"/>
      <c r="W42" s="1440" t="s">
        <v>7</v>
      </c>
      <c r="X42" s="3417" t="s">
        <v>33</v>
      </c>
      <c r="Y42" s="3418"/>
      <c r="Z42" s="3418"/>
      <c r="AA42" s="3419"/>
      <c r="AB42" s="3366" t="s">
        <v>1345</v>
      </c>
      <c r="AC42" s="3199"/>
      <c r="AD42" s="3199"/>
      <c r="AE42" s="3200"/>
      <c r="AF42" s="3366" t="s">
        <v>1345</v>
      </c>
      <c r="AG42" s="3199"/>
      <c r="AH42" s="3199"/>
      <c r="AI42" s="3200"/>
      <c r="AJ42" s="3366" t="s">
        <v>1345</v>
      </c>
      <c r="AK42" s="3199"/>
      <c r="AL42" s="3199"/>
      <c r="AM42" s="3200"/>
    </row>
    <row r="43" spans="1:40" ht="44.25" customHeight="1">
      <c r="A43" s="1023">
        <v>1</v>
      </c>
      <c r="B43" s="3264" t="s">
        <v>1099</v>
      </c>
      <c r="C43" s="3265"/>
      <c r="D43" s="3265"/>
      <c r="E43" s="3266"/>
      <c r="F43" s="2865" t="s">
        <v>1641</v>
      </c>
      <c r="G43" s="1354" t="str">
        <f>'XM.GUI MAIL'!$E$120</f>
        <v>30~50 
(40)</v>
      </c>
      <c r="H43" s="2221" t="str">
        <f>'XM.GUI MAIL'!$F$120</f>
        <v>30~50 
(40)</v>
      </c>
      <c r="I43" s="3357">
        <f>'XM.GUI MAIL'!I120</f>
        <v>42</v>
      </c>
      <c r="J43" s="3357"/>
      <c r="K43" s="3357"/>
      <c r="L43" s="3357"/>
      <c r="M43" s="3295">
        <f>'XM.GUI MAIL'!P120</f>
        <v>40</v>
      </c>
      <c r="N43" s="3357"/>
      <c r="O43" s="3357"/>
      <c r="P43" s="3357"/>
      <c r="Q43" s="3295">
        <f>'XM.GUI MAIL'!W120</f>
        <v>42</v>
      </c>
      <c r="R43" s="3357"/>
      <c r="S43" s="3357"/>
      <c r="T43" s="3357"/>
      <c r="U43" s="1023"/>
      <c r="W43" s="1440">
        <v>1</v>
      </c>
      <c r="X43" s="3264" t="s">
        <v>1099</v>
      </c>
      <c r="Y43" s="3265"/>
      <c r="Z43" s="3265"/>
      <c r="AA43" s="3266"/>
      <c r="AB43" s="1505"/>
      <c r="AC43" s="1787"/>
      <c r="AD43" s="1787"/>
      <c r="AE43" s="1506"/>
      <c r="AF43" s="1505"/>
      <c r="AG43" s="1787"/>
      <c r="AH43" s="1787"/>
      <c r="AI43" s="1506"/>
      <c r="AJ43" s="1505"/>
      <c r="AK43" s="1787"/>
      <c r="AL43" s="1787"/>
      <c r="AM43" s="1506"/>
    </row>
    <row r="44" spans="1:40" ht="44.25" customHeight="1">
      <c r="A44" s="1023">
        <v>2</v>
      </c>
      <c r="B44" s="3264" t="s">
        <v>225</v>
      </c>
      <c r="C44" s="3265"/>
      <c r="D44" s="3265"/>
      <c r="E44" s="3266"/>
      <c r="F44" s="2865" t="s">
        <v>1641</v>
      </c>
      <c r="G44" s="1354" t="str">
        <f>'XM.GUI MAIL'!$E$121</f>
        <v>160~220
(180)</v>
      </c>
      <c r="H44" s="2221" t="str">
        <f>'XM.GUI MAIL'!$F$121</f>
        <v>160~220
(180)</v>
      </c>
      <c r="I44" s="3357">
        <f>'XM.GUI MAIL'!I121</f>
        <v>195</v>
      </c>
      <c r="J44" s="3357"/>
      <c r="K44" s="3357"/>
      <c r="L44" s="3357"/>
      <c r="M44" s="3295">
        <f>'XM.GUI MAIL'!P121</f>
        <v>197</v>
      </c>
      <c r="N44" s="3357"/>
      <c r="O44" s="3357"/>
      <c r="P44" s="3357"/>
      <c r="Q44" s="3295">
        <f>'XM.GUI MAIL'!W121</f>
        <v>200</v>
      </c>
      <c r="R44" s="3357"/>
      <c r="S44" s="3357"/>
      <c r="T44" s="3357"/>
      <c r="U44" s="1023"/>
      <c r="W44" s="1440">
        <v>2</v>
      </c>
      <c r="X44" s="3264" t="s">
        <v>225</v>
      </c>
      <c r="Y44" s="3265"/>
      <c r="Z44" s="3265"/>
      <c r="AA44" s="3266"/>
      <c r="AB44" s="1501"/>
      <c r="AC44" s="1784"/>
      <c r="AD44" s="1784"/>
      <c r="AE44" s="1507"/>
      <c r="AF44" s="1501"/>
      <c r="AG44" s="1784"/>
      <c r="AH44" s="1784"/>
      <c r="AI44" s="1507"/>
      <c r="AJ44" s="1501"/>
      <c r="AK44" s="1784"/>
      <c r="AL44" s="1784"/>
      <c r="AM44" s="1507"/>
    </row>
    <row r="45" spans="1:40">
      <c r="AB45" s="30"/>
      <c r="AC45" s="30"/>
      <c r="AD45" s="30"/>
      <c r="AE45" s="30"/>
      <c r="AF45" s="30"/>
      <c r="AG45" s="30"/>
      <c r="AH45" s="30"/>
      <c r="AI45" s="30"/>
      <c r="AJ45" s="30"/>
      <c r="AK45" s="30"/>
      <c r="AL45" s="30"/>
      <c r="AM45" s="30"/>
      <c r="AN45" s="30"/>
    </row>
    <row r="46" spans="1:40">
      <c r="AB46" s="30"/>
      <c r="AC46" s="30"/>
      <c r="AD46" s="30"/>
      <c r="AE46" s="30"/>
      <c r="AF46" s="30"/>
      <c r="AG46" s="30"/>
      <c r="AH46" s="30"/>
      <c r="AI46" s="30"/>
      <c r="AJ46" s="30"/>
      <c r="AK46" s="30"/>
      <c r="AL46" s="30"/>
      <c r="AM46" s="30"/>
      <c r="AN46" s="30"/>
    </row>
  </sheetData>
  <sheetProtection selectLockedCells="1"/>
  <mergeCells count="217">
    <mergeCell ref="AC3:AD3"/>
    <mergeCell ref="X36:AA36"/>
    <mergeCell ref="X39:AA39"/>
    <mergeCell ref="X40:AA40"/>
    <mergeCell ref="X42:AA42"/>
    <mergeCell ref="X43:AA43"/>
    <mergeCell ref="X44:AA44"/>
    <mergeCell ref="X25:AA26"/>
    <mergeCell ref="X28:AA28"/>
    <mergeCell ref="X29:AA29"/>
    <mergeCell ref="X30:AA30"/>
    <mergeCell ref="X31:AA31"/>
    <mergeCell ref="X32:AA32"/>
    <mergeCell ref="X33:AA33"/>
    <mergeCell ref="X34:AA34"/>
    <mergeCell ref="X35:AA35"/>
    <mergeCell ref="X16:Z17"/>
    <mergeCell ref="AA16:AA17"/>
    <mergeCell ref="X19:AA19"/>
    <mergeCell ref="X21:AA21"/>
    <mergeCell ref="X22:AA22"/>
    <mergeCell ref="AB4:AE4"/>
    <mergeCell ref="X37:AA37"/>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20:AA20"/>
    <mergeCell ref="X18:AA18"/>
    <mergeCell ref="W1:AA1"/>
    <mergeCell ref="W2:AA2"/>
    <mergeCell ref="W4:W5"/>
    <mergeCell ref="X4:AA5"/>
    <mergeCell ref="W6:W7"/>
    <mergeCell ref="X6:Y7"/>
    <mergeCell ref="Z6:AA6"/>
    <mergeCell ref="Z7:AA7"/>
    <mergeCell ref="W8:W9"/>
    <mergeCell ref="X8:Y9"/>
    <mergeCell ref="Z8:AA8"/>
    <mergeCell ref="Z9:AA9"/>
    <mergeCell ref="S35:T35"/>
    <mergeCell ref="Q36:R36"/>
    <mergeCell ref="S36:T36"/>
    <mergeCell ref="K36:L36"/>
    <mergeCell ref="M42:P42"/>
    <mergeCell ref="M43:P43"/>
    <mergeCell ref="M44:P44"/>
    <mergeCell ref="Q42:T42"/>
    <mergeCell ref="Q40:R40"/>
    <mergeCell ref="S40:T40"/>
    <mergeCell ref="Q39:R39"/>
    <mergeCell ref="M37:N37"/>
    <mergeCell ref="O37:P37"/>
    <mergeCell ref="Q37:R37"/>
    <mergeCell ref="S37:T37"/>
    <mergeCell ref="M38:N38"/>
    <mergeCell ref="O38:P38"/>
    <mergeCell ref="Q38:R38"/>
    <mergeCell ref="S38:T38"/>
    <mergeCell ref="M40:N40"/>
    <mergeCell ref="O40:P40"/>
    <mergeCell ref="K35:L35"/>
    <mergeCell ref="K31:L31"/>
    <mergeCell ref="M28:N28"/>
    <mergeCell ref="O28:P28"/>
    <mergeCell ref="M29:N29"/>
    <mergeCell ref="B28:E28"/>
    <mergeCell ref="B29:E29"/>
    <mergeCell ref="I32:J32"/>
    <mergeCell ref="M30:N30"/>
    <mergeCell ref="B31:E31"/>
    <mergeCell ref="B39:E39"/>
    <mergeCell ref="I39:J39"/>
    <mergeCell ref="K39:L39"/>
    <mergeCell ref="I28:J28"/>
    <mergeCell ref="K28:L28"/>
    <mergeCell ref="I29:J29"/>
    <mergeCell ref="K29:L29"/>
    <mergeCell ref="O29:P29"/>
    <mergeCell ref="U4:U5"/>
    <mergeCell ref="Q30:R30"/>
    <mergeCell ref="S30:T30"/>
    <mergeCell ref="M32:N32"/>
    <mergeCell ref="B35:E35"/>
    <mergeCell ref="I34:J34"/>
    <mergeCell ref="K34:L34"/>
    <mergeCell ref="I35:J35"/>
    <mergeCell ref="B34:E34"/>
    <mergeCell ref="B32:E32"/>
    <mergeCell ref="M35:N35"/>
    <mergeCell ref="O35:P35"/>
    <mergeCell ref="Q28:R28"/>
    <mergeCell ref="S28:T28"/>
    <mergeCell ref="Q29:R29"/>
    <mergeCell ref="S29:T29"/>
    <mergeCell ref="M34:N34"/>
    <mergeCell ref="O34:P34"/>
    <mergeCell ref="M33:N33"/>
    <mergeCell ref="O33:P33"/>
    <mergeCell ref="B33:E33"/>
    <mergeCell ref="O32:P32"/>
    <mergeCell ref="Q35:R3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I31:J31"/>
    <mergeCell ref="D6:E6"/>
    <mergeCell ref="D7:E7"/>
    <mergeCell ref="A4:A5"/>
    <mergeCell ref="B4:E5"/>
    <mergeCell ref="F4:F5"/>
    <mergeCell ref="G4:G5"/>
    <mergeCell ref="I4:L4"/>
    <mergeCell ref="R5:T5"/>
    <mergeCell ref="I30:J30"/>
    <mergeCell ref="K30:L30"/>
    <mergeCell ref="B22:E22"/>
    <mergeCell ref="B19:E19"/>
    <mergeCell ref="B21:E21"/>
    <mergeCell ref="A16:A17"/>
    <mergeCell ref="B16:D17"/>
    <mergeCell ref="E16:E17"/>
    <mergeCell ref="B20:E20"/>
    <mergeCell ref="C14:E14"/>
    <mergeCell ref="C15:E15"/>
    <mergeCell ref="M4:P4"/>
    <mergeCell ref="N5:P5"/>
    <mergeCell ref="Q4:T4"/>
    <mergeCell ref="B14:B15"/>
    <mergeCell ref="B18:E18"/>
    <mergeCell ref="S2:T2"/>
    <mergeCell ref="S3:T3"/>
    <mergeCell ref="O30:P30"/>
    <mergeCell ref="H3:I3"/>
    <mergeCell ref="A12:A13"/>
    <mergeCell ref="B12:C13"/>
    <mergeCell ref="A14:A15"/>
    <mergeCell ref="B44:E44"/>
    <mergeCell ref="I44:L44"/>
    <mergeCell ref="B36:E36"/>
    <mergeCell ref="B42:E42"/>
    <mergeCell ref="I42:L42"/>
    <mergeCell ref="S39:T39"/>
    <mergeCell ref="Q31:R31"/>
    <mergeCell ref="Q44:T44"/>
    <mergeCell ref="M39:N39"/>
    <mergeCell ref="O39:P39"/>
    <mergeCell ref="S31:T31"/>
    <mergeCell ref="Q32:R32"/>
    <mergeCell ref="S32:T32"/>
    <mergeCell ref="M36:N36"/>
    <mergeCell ref="O36:P36"/>
    <mergeCell ref="Q34:R34"/>
    <mergeCell ref="S34:T34"/>
    <mergeCell ref="Q33:R33"/>
    <mergeCell ref="S33:T33"/>
    <mergeCell ref="Q43:T43"/>
    <mergeCell ref="M31:N31"/>
    <mergeCell ref="O31:P31"/>
    <mergeCell ref="I33:J33"/>
    <mergeCell ref="K33:L33"/>
    <mergeCell ref="A23:A24"/>
    <mergeCell ref="B23:E24"/>
    <mergeCell ref="B43:E43"/>
    <mergeCell ref="I43:L43"/>
    <mergeCell ref="I36:J36"/>
    <mergeCell ref="K32:L32"/>
    <mergeCell ref="B37:E37"/>
    <mergeCell ref="I37:J37"/>
    <mergeCell ref="K37:L37"/>
    <mergeCell ref="B38:E38"/>
    <mergeCell ref="I38:J38"/>
    <mergeCell ref="K38:L38"/>
    <mergeCell ref="B40:E40"/>
    <mergeCell ref="I40:J40"/>
    <mergeCell ref="K40:L40"/>
    <mergeCell ref="B25:E26"/>
    <mergeCell ref="B30:E30"/>
    <mergeCell ref="AF4:AI4"/>
    <mergeCell ref="AJ4:AM4"/>
    <mergeCell ref="AB28:AE28"/>
    <mergeCell ref="AF28:AI28"/>
    <mergeCell ref="AJ28:AM28"/>
    <mergeCell ref="AB42:AE42"/>
    <mergeCell ref="AF42:AI42"/>
    <mergeCell ref="AJ42:AM42"/>
    <mergeCell ref="AB5:AC5"/>
    <mergeCell ref="AD5:AE5"/>
    <mergeCell ref="AF5:AG5"/>
    <mergeCell ref="AH5:AI5"/>
    <mergeCell ref="AJ5:AK5"/>
    <mergeCell ref="AL5:AM5"/>
  </mergeCells>
  <phoneticPr fontId="7" type="noConversion"/>
  <conditionalFormatting sqref="I26 Q26 M26">
    <cfRule type="expression" dxfId="2516" priority="1758">
      <formula>I26&lt;1.8</formula>
    </cfRule>
    <cfRule type="expression" dxfId="2515" priority="1759">
      <formula>I26&gt;2.4</formula>
    </cfRule>
  </conditionalFormatting>
  <conditionalFormatting sqref="I25 Q25 M25">
    <cfRule type="expression" dxfId="2514" priority="1756">
      <formula>I25&lt;8</formula>
    </cfRule>
    <cfRule type="expression" dxfId="2513" priority="1757">
      <formula>I25&gt;16</formula>
    </cfRule>
  </conditionalFormatting>
  <conditionalFormatting sqref="I43 M43 Q43">
    <cfRule type="expression" dxfId="2512" priority="1698">
      <formula>I43&lt;30</formula>
    </cfRule>
    <cfRule type="expression" dxfId="2511" priority="1699">
      <formula>I43&gt;50</formula>
    </cfRule>
  </conditionalFormatting>
  <conditionalFormatting sqref="I44 M44 Q44">
    <cfRule type="expression" dxfId="2510" priority="1696">
      <formula>I44&lt;160</formula>
    </cfRule>
    <cfRule type="expression" dxfId="2509" priority="1697">
      <formula>I44&gt;220</formula>
    </cfRule>
  </conditionalFormatting>
  <conditionalFormatting sqref="I40 K40 M40 O40 Q40 S40">
    <cfRule type="expression" dxfId="2508" priority="1608">
      <formula>I40&lt;35</formula>
    </cfRule>
    <cfRule type="expression" dxfId="2507" priority="1609">
      <formula>I40&gt;45</formula>
    </cfRule>
  </conditionalFormatting>
  <conditionalFormatting sqref="I14 M14 Q14">
    <cfRule type="expression" dxfId="2506" priority="333" stopIfTrue="1">
      <formula>I14&lt;135</formula>
    </cfRule>
  </conditionalFormatting>
  <conditionalFormatting sqref="I14 M14 Q14">
    <cfRule type="expression" dxfId="2505" priority="332" stopIfTrue="1">
      <formula>I14&gt;145</formula>
    </cfRule>
  </conditionalFormatting>
  <conditionalFormatting sqref="I16 M16 Q16">
    <cfRule type="cellIs" dxfId="2504" priority="327" operator="between">
      <formula>7.01</formula>
      <formula>8</formula>
    </cfRule>
    <cfRule type="expression" dxfId="2503" priority="328">
      <formula>I16&lt;5</formula>
    </cfRule>
    <cfRule type="expression" dxfId="2502" priority="329">
      <formula>I16&gt;8</formula>
    </cfRule>
  </conditionalFormatting>
  <conditionalFormatting sqref="I10 I12 M10 M12 Q10 Q12">
    <cfRule type="cellIs" dxfId="2501" priority="319" operator="between">
      <formula>50</formula>
      <formula>54.99</formula>
    </cfRule>
    <cfRule type="cellIs" dxfId="2500" priority="320" operator="between">
      <formula>65.01</formula>
      <formula>70</formula>
    </cfRule>
    <cfRule type="expression" dxfId="2499" priority="321">
      <formula>I10&lt;50</formula>
    </cfRule>
    <cfRule type="expression" dxfId="2498" priority="322">
      <formula>I10&gt;70</formula>
    </cfRule>
  </conditionalFormatting>
  <conditionalFormatting sqref="I6 I8 M6 M8 Q6 Q8">
    <cfRule type="cellIs" dxfId="2497" priority="315" operator="between">
      <formula>40</formula>
      <formula>44.99</formula>
    </cfRule>
    <cfRule type="cellIs" dxfId="2496" priority="316" operator="between">
      <formula>55.1</formula>
      <formula>60</formula>
    </cfRule>
    <cfRule type="expression" dxfId="2495" priority="317">
      <formula>I6&lt;40</formula>
    </cfRule>
    <cfRule type="expression" dxfId="2494" priority="318">
      <formula>I6&gt;60</formula>
    </cfRule>
  </conditionalFormatting>
  <conditionalFormatting sqref="K33:L33">
    <cfRule type="expression" dxfId="2493" priority="263">
      <formula>K33&lt;22</formula>
    </cfRule>
    <cfRule type="expression" dxfId="2492" priority="264">
      <formula>K33&gt;28</formula>
    </cfRule>
  </conditionalFormatting>
  <conditionalFormatting sqref="K29:L31">
    <cfRule type="cellIs" dxfId="2491" priority="259" operator="between">
      <formula>50</formula>
      <formula>54.9</formula>
    </cfRule>
    <cfRule type="cellIs" dxfId="2490" priority="260" operator="between">
      <formula>65.1</formula>
      <formula>70</formula>
    </cfRule>
    <cfRule type="expression" dxfId="2489" priority="261">
      <formula>K29&lt;50</formula>
    </cfRule>
    <cfRule type="expression" dxfId="2488" priority="262">
      <formula>K29&gt;70</formula>
    </cfRule>
  </conditionalFormatting>
  <conditionalFormatting sqref="K34">
    <cfRule type="cellIs" dxfId="2487" priority="255" operator="between">
      <formula>30</formula>
      <formula>30.9</formula>
    </cfRule>
    <cfRule type="cellIs" dxfId="2486" priority="256" operator="between">
      <formula>37.1</formula>
      <formula>40</formula>
    </cfRule>
    <cfRule type="expression" dxfId="2485" priority="257">
      <formula>K34&lt;30</formula>
    </cfRule>
    <cfRule type="expression" dxfId="2484" priority="258">
      <formula>K34&gt;40</formula>
    </cfRule>
  </conditionalFormatting>
  <conditionalFormatting sqref="K35">
    <cfRule type="expression" dxfId="2483" priority="253">
      <formula>K35&lt;55</formula>
    </cfRule>
    <cfRule type="expression" dxfId="2482" priority="254">
      <formula>K35&gt;65</formula>
    </cfRule>
  </conditionalFormatting>
  <conditionalFormatting sqref="K36">
    <cfRule type="cellIs" dxfId="2481" priority="249" operator="between">
      <formula>80</formula>
      <formula>84.9</formula>
    </cfRule>
    <cfRule type="cellIs" dxfId="2480" priority="250" operator="between">
      <formula>95.1</formula>
      <formula>100</formula>
    </cfRule>
    <cfRule type="expression" dxfId="2479" priority="251">
      <formula>K36&lt;80</formula>
    </cfRule>
    <cfRule type="expression" dxfId="2478" priority="252">
      <formula>K36&gt;100</formula>
    </cfRule>
  </conditionalFormatting>
  <conditionalFormatting sqref="K37">
    <cfRule type="expression" dxfId="2477" priority="247">
      <formula>K37&lt;40</formula>
    </cfRule>
    <cfRule type="expression" dxfId="2476" priority="248">
      <formula>K37&gt;60</formula>
    </cfRule>
  </conditionalFormatting>
  <conditionalFormatting sqref="K38">
    <cfRule type="expression" dxfId="2475" priority="245">
      <formula>K38&lt;50</formula>
    </cfRule>
    <cfRule type="expression" dxfId="2474" priority="246">
      <formula>K38&gt;70</formula>
    </cfRule>
  </conditionalFormatting>
  <conditionalFormatting sqref="K32:L32">
    <cfRule type="cellIs" dxfId="2473" priority="241" operator="between">
      <formula>50</formula>
      <formula>54.9</formula>
    </cfRule>
    <cfRule type="cellIs" dxfId="2472" priority="242" operator="between">
      <formula>65.1</formula>
      <formula>70</formula>
    </cfRule>
    <cfRule type="expression" dxfId="2471" priority="243">
      <formula>K32&lt;50</formula>
    </cfRule>
    <cfRule type="expression" dxfId="2470" priority="244">
      <formula>K32&gt;70</formula>
    </cfRule>
  </conditionalFormatting>
  <conditionalFormatting sqref="I33:J33">
    <cfRule type="expression" dxfId="2469" priority="239">
      <formula>I33&lt;22</formula>
    </cfRule>
    <cfRule type="expression" dxfId="2468" priority="240">
      <formula>I33&gt;28</formula>
    </cfRule>
  </conditionalFormatting>
  <conditionalFormatting sqref="I29:J31">
    <cfRule type="cellIs" dxfId="2467" priority="235" operator="between">
      <formula>50</formula>
      <formula>54.9</formula>
    </cfRule>
    <cfRule type="cellIs" dxfId="2466" priority="236" operator="between">
      <formula>65.1</formula>
      <formula>70</formula>
    </cfRule>
    <cfRule type="expression" dxfId="2465" priority="237">
      <formula>I29&lt;50</formula>
    </cfRule>
    <cfRule type="expression" dxfId="2464" priority="238">
      <formula>I29&gt;70</formula>
    </cfRule>
  </conditionalFormatting>
  <conditionalFormatting sqref="I34">
    <cfRule type="cellIs" dxfId="2463" priority="231" operator="between">
      <formula>30</formula>
      <formula>30.9</formula>
    </cfRule>
    <cfRule type="cellIs" dxfId="2462" priority="232" operator="between">
      <formula>37.1</formula>
      <formula>40</formula>
    </cfRule>
    <cfRule type="expression" dxfId="2461" priority="233">
      <formula>I34&lt;30</formula>
    </cfRule>
    <cfRule type="expression" dxfId="2460" priority="234">
      <formula>I34&gt;40</formula>
    </cfRule>
  </conditionalFormatting>
  <conditionalFormatting sqref="I35">
    <cfRule type="expression" dxfId="2459" priority="229">
      <formula>I35&lt;55</formula>
    </cfRule>
    <cfRule type="expression" dxfId="2458" priority="230">
      <formula>I35&gt;65</formula>
    </cfRule>
  </conditionalFormatting>
  <conditionalFormatting sqref="I37">
    <cfRule type="expression" dxfId="2457" priority="227">
      <formula>I37&lt;40</formula>
    </cfRule>
    <cfRule type="expression" dxfId="2456" priority="228">
      <formula>I37&gt;60</formula>
    </cfRule>
  </conditionalFormatting>
  <conditionalFormatting sqref="I38">
    <cfRule type="expression" dxfId="2455" priority="225">
      <formula>I38&lt;50</formula>
    </cfRule>
    <cfRule type="expression" dxfId="2454" priority="226">
      <formula>I38&gt;70</formula>
    </cfRule>
  </conditionalFormatting>
  <conditionalFormatting sqref="I32:J32">
    <cfRule type="cellIs" dxfId="2453" priority="221" operator="between">
      <formula>50</formula>
      <formula>54.9</formula>
    </cfRule>
    <cfRule type="cellIs" dxfId="2452" priority="222" operator="between">
      <formula>65.1</formula>
      <formula>70</formula>
    </cfRule>
    <cfRule type="expression" dxfId="2451" priority="223">
      <formula>I32&lt;50</formula>
    </cfRule>
    <cfRule type="expression" dxfId="2450" priority="224">
      <formula>I32&gt;70</formula>
    </cfRule>
  </conditionalFormatting>
  <conditionalFormatting sqref="O33:P33">
    <cfRule type="expression" dxfId="2449" priority="219">
      <formula>O33&lt;22</formula>
    </cfRule>
    <cfRule type="expression" dxfId="2448" priority="220">
      <formula>O33&gt;28</formula>
    </cfRule>
  </conditionalFormatting>
  <conditionalFormatting sqref="O29:P31">
    <cfRule type="cellIs" dxfId="2447" priority="215" operator="between">
      <formula>50</formula>
      <formula>54.9</formula>
    </cfRule>
    <cfRule type="cellIs" dxfId="2446" priority="216" operator="between">
      <formula>65.1</formula>
      <formula>70</formula>
    </cfRule>
    <cfRule type="expression" dxfId="2445" priority="217">
      <formula>O29&lt;50</formula>
    </cfRule>
    <cfRule type="expression" dxfId="2444" priority="218">
      <formula>O29&gt;70</formula>
    </cfRule>
  </conditionalFormatting>
  <conditionalFormatting sqref="O34">
    <cfRule type="cellIs" dxfId="2443" priority="211" operator="between">
      <formula>30</formula>
      <formula>30.9</formula>
    </cfRule>
    <cfRule type="cellIs" dxfId="2442" priority="212" operator="between">
      <formula>37.1</formula>
      <formula>40</formula>
    </cfRule>
    <cfRule type="expression" dxfId="2441" priority="213">
      <formula>O34&lt;30</formula>
    </cfRule>
    <cfRule type="expression" dxfId="2440" priority="214">
      <formula>O34&gt;40</formula>
    </cfRule>
  </conditionalFormatting>
  <conditionalFormatting sqref="O35">
    <cfRule type="expression" dxfId="2439" priority="209">
      <formula>O35&lt;55</formula>
    </cfRule>
    <cfRule type="expression" dxfId="2438" priority="210">
      <formula>O35&gt;65</formula>
    </cfRule>
  </conditionalFormatting>
  <conditionalFormatting sqref="O36">
    <cfRule type="cellIs" dxfId="2437" priority="205" operator="between">
      <formula>80</formula>
      <formula>84.9</formula>
    </cfRule>
    <cfRule type="cellIs" dxfId="2436" priority="206" operator="between">
      <formula>95.1</formula>
      <formula>100</formula>
    </cfRule>
    <cfRule type="expression" dxfId="2435" priority="207">
      <formula>O36&lt;80</formula>
    </cfRule>
    <cfRule type="expression" dxfId="2434" priority="208">
      <formula>O36&gt;100</formula>
    </cfRule>
  </conditionalFormatting>
  <conditionalFormatting sqref="O37">
    <cfRule type="expression" dxfId="2433" priority="203">
      <formula>O37&lt;40</formula>
    </cfRule>
    <cfRule type="expression" dxfId="2432" priority="204">
      <formula>O37&gt;60</formula>
    </cfRule>
  </conditionalFormatting>
  <conditionalFormatting sqref="O38">
    <cfRule type="expression" dxfId="2431" priority="201">
      <formula>O38&lt;50</formula>
    </cfRule>
    <cfRule type="expression" dxfId="2430" priority="202">
      <formula>O38&gt;70</formula>
    </cfRule>
  </conditionalFormatting>
  <conditionalFormatting sqref="O32:P32">
    <cfRule type="cellIs" dxfId="2429" priority="197" operator="between">
      <formula>50</formula>
      <formula>54.9</formula>
    </cfRule>
    <cfRule type="cellIs" dxfId="2428" priority="198" operator="between">
      <formula>65.1</formula>
      <formula>70</formula>
    </cfRule>
    <cfRule type="expression" dxfId="2427" priority="199">
      <formula>O32&lt;50</formula>
    </cfRule>
    <cfRule type="expression" dxfId="2426" priority="200">
      <formula>O32&gt;70</formula>
    </cfRule>
  </conditionalFormatting>
  <conditionalFormatting sqref="M33:N33">
    <cfRule type="expression" dxfId="2425" priority="195">
      <formula>M33&lt;22</formula>
    </cfRule>
    <cfRule type="expression" dxfId="2424" priority="196">
      <formula>M33&gt;28</formula>
    </cfRule>
  </conditionalFormatting>
  <conditionalFormatting sqref="M29:N31">
    <cfRule type="cellIs" dxfId="2423" priority="191" operator="between">
      <formula>50</formula>
      <formula>54.9</formula>
    </cfRule>
    <cfRule type="cellIs" dxfId="2422" priority="192" operator="between">
      <formula>65.1</formula>
      <formula>70</formula>
    </cfRule>
    <cfRule type="expression" dxfId="2421" priority="193">
      <formula>M29&lt;50</formula>
    </cfRule>
    <cfRule type="expression" dxfId="2420" priority="194">
      <formula>M29&gt;70</formula>
    </cfRule>
  </conditionalFormatting>
  <conditionalFormatting sqref="M34">
    <cfRule type="cellIs" dxfId="2419" priority="187" operator="between">
      <formula>30</formula>
      <formula>30.9</formula>
    </cfRule>
    <cfRule type="cellIs" dxfId="2418" priority="188" operator="between">
      <formula>37.1</formula>
      <formula>40</formula>
    </cfRule>
    <cfRule type="expression" dxfId="2417" priority="189">
      <formula>M34&lt;30</formula>
    </cfRule>
    <cfRule type="expression" dxfId="2416" priority="190">
      <formula>M34&gt;40</formula>
    </cfRule>
  </conditionalFormatting>
  <conditionalFormatting sqref="M35">
    <cfRule type="expression" dxfId="2415" priority="185">
      <formula>M35&lt;55</formula>
    </cfRule>
    <cfRule type="expression" dxfId="2414" priority="186">
      <formula>M35&gt;65</formula>
    </cfRule>
  </conditionalFormatting>
  <conditionalFormatting sqref="M37">
    <cfRule type="expression" dxfId="2413" priority="183">
      <formula>M37&lt;40</formula>
    </cfRule>
    <cfRule type="expression" dxfId="2412" priority="184">
      <formula>M37&gt;60</formula>
    </cfRule>
  </conditionalFormatting>
  <conditionalFormatting sqref="M38">
    <cfRule type="expression" dxfId="2411" priority="181">
      <formula>M38&lt;50</formula>
    </cfRule>
    <cfRule type="expression" dxfId="2410" priority="182">
      <formula>M38&gt;70</formula>
    </cfRule>
  </conditionalFormatting>
  <conditionalFormatting sqref="M32:N32">
    <cfRule type="cellIs" dxfId="2409" priority="177" operator="between">
      <formula>50</formula>
      <formula>54.9</formula>
    </cfRule>
    <cfRule type="cellIs" dxfId="2408" priority="178" operator="between">
      <formula>65.1</formula>
      <formula>70</formula>
    </cfRule>
    <cfRule type="expression" dxfId="2407" priority="179">
      <formula>M32&lt;50</formula>
    </cfRule>
    <cfRule type="expression" dxfId="2406" priority="180">
      <formula>M32&gt;70</formula>
    </cfRule>
  </conditionalFormatting>
  <conditionalFormatting sqref="S33:T33">
    <cfRule type="expression" dxfId="2405" priority="175">
      <formula>S33&lt;22</formula>
    </cfRule>
    <cfRule type="expression" dxfId="2404" priority="176">
      <formula>S33&gt;28</formula>
    </cfRule>
  </conditionalFormatting>
  <conditionalFormatting sqref="S29:T31">
    <cfRule type="cellIs" dxfId="2403" priority="171" operator="between">
      <formula>50</formula>
      <formula>54.9</formula>
    </cfRule>
    <cfRule type="cellIs" dxfId="2402" priority="172" operator="between">
      <formula>65.1</formula>
      <formula>70</formula>
    </cfRule>
    <cfRule type="expression" dxfId="2401" priority="173">
      <formula>S29&lt;50</formula>
    </cfRule>
    <cfRule type="expression" dxfId="2400" priority="174">
      <formula>S29&gt;70</formula>
    </cfRule>
  </conditionalFormatting>
  <conditionalFormatting sqref="S34">
    <cfRule type="cellIs" dxfId="2399" priority="167" operator="between">
      <formula>30</formula>
      <formula>30.9</formula>
    </cfRule>
    <cfRule type="cellIs" dxfId="2398" priority="168" operator="between">
      <formula>37.1</formula>
      <formula>40</formula>
    </cfRule>
    <cfRule type="expression" dxfId="2397" priority="169">
      <formula>S34&lt;30</formula>
    </cfRule>
    <cfRule type="expression" dxfId="2396" priority="170">
      <formula>S34&gt;40</formula>
    </cfRule>
  </conditionalFormatting>
  <conditionalFormatting sqref="S35">
    <cfRule type="expression" dxfId="2395" priority="165">
      <formula>S35&lt;55</formula>
    </cfRule>
    <cfRule type="expression" dxfId="2394" priority="166">
      <formula>S35&gt;65</formula>
    </cfRule>
  </conditionalFormatting>
  <conditionalFormatting sqref="S36">
    <cfRule type="cellIs" dxfId="2393" priority="161" operator="between">
      <formula>80</formula>
      <formula>84.9</formula>
    </cfRule>
    <cfRule type="cellIs" dxfId="2392" priority="162" operator="between">
      <formula>95.1</formula>
      <formula>100</formula>
    </cfRule>
    <cfRule type="expression" dxfId="2391" priority="163">
      <formula>S36&lt;80</formula>
    </cfRule>
    <cfRule type="expression" dxfId="2390" priority="164">
      <formula>S36&gt;100</formula>
    </cfRule>
  </conditionalFormatting>
  <conditionalFormatting sqref="S37">
    <cfRule type="expression" dxfId="2389" priority="159">
      <formula>S37&lt;40</formula>
    </cfRule>
    <cfRule type="expression" dxfId="2388" priority="160">
      <formula>S37&gt;60</formula>
    </cfRule>
  </conditionalFormatting>
  <conditionalFormatting sqref="S38">
    <cfRule type="expression" dxfId="2387" priority="157">
      <formula>S38&lt;50</formula>
    </cfRule>
    <cfRule type="expression" dxfId="2386" priority="158">
      <formula>S38&gt;70</formula>
    </cfRule>
  </conditionalFormatting>
  <conditionalFormatting sqref="S32:T32">
    <cfRule type="cellIs" dxfId="2385" priority="153" operator="between">
      <formula>50</formula>
      <formula>54.9</formula>
    </cfRule>
    <cfRule type="cellIs" dxfId="2384" priority="154" operator="between">
      <formula>65.1</formula>
      <formula>70</formula>
    </cfRule>
    <cfRule type="expression" dxfId="2383" priority="155">
      <formula>S32&lt;50</formula>
    </cfRule>
    <cfRule type="expression" dxfId="2382" priority="156">
      <formula>S32&gt;70</formula>
    </cfRule>
  </conditionalFormatting>
  <conditionalFormatting sqref="Q33:R33">
    <cfRule type="expression" dxfId="2381" priority="151">
      <formula>Q33&lt;22</formula>
    </cfRule>
    <cfRule type="expression" dxfId="2380" priority="152">
      <formula>Q33&gt;28</formula>
    </cfRule>
  </conditionalFormatting>
  <conditionalFormatting sqref="Q29:R31">
    <cfRule type="cellIs" dxfId="2379" priority="147" operator="between">
      <formula>50</formula>
      <formula>54.9</formula>
    </cfRule>
    <cfRule type="cellIs" dxfId="2378" priority="148" operator="between">
      <formula>65.1</formula>
      <formula>70</formula>
    </cfRule>
    <cfRule type="expression" dxfId="2377" priority="149">
      <formula>Q29&lt;50</formula>
    </cfRule>
    <cfRule type="expression" dxfId="2376" priority="150">
      <formula>Q29&gt;70</formula>
    </cfRule>
  </conditionalFormatting>
  <conditionalFormatting sqref="Q34">
    <cfRule type="cellIs" dxfId="2375" priority="143" operator="between">
      <formula>30</formula>
      <formula>30.9</formula>
    </cfRule>
    <cfRule type="cellIs" dxfId="2374" priority="144" operator="between">
      <formula>37.1</formula>
      <formula>40</formula>
    </cfRule>
    <cfRule type="expression" dxfId="2373" priority="145">
      <formula>Q34&lt;30</formula>
    </cfRule>
    <cfRule type="expression" dxfId="2372" priority="146">
      <formula>Q34&gt;40</formula>
    </cfRule>
  </conditionalFormatting>
  <conditionalFormatting sqref="Q35">
    <cfRule type="expression" dxfId="2371" priority="141">
      <formula>Q35&lt;55</formula>
    </cfRule>
    <cfRule type="expression" dxfId="2370" priority="142">
      <formula>Q35&gt;65</formula>
    </cfRule>
  </conditionalFormatting>
  <conditionalFormatting sqref="Q37">
    <cfRule type="expression" dxfId="2369" priority="139">
      <formula>Q37&lt;40</formula>
    </cfRule>
    <cfRule type="expression" dxfId="2368" priority="140">
      <formula>Q37&gt;60</formula>
    </cfRule>
  </conditionalFormatting>
  <conditionalFormatting sqref="Q38">
    <cfRule type="expression" dxfId="2367" priority="137">
      <formula>Q38&lt;50</formula>
    </cfRule>
    <cfRule type="expression" dxfId="2366" priority="138">
      <formula>Q38&gt;70</formula>
    </cfRule>
  </conditionalFormatting>
  <conditionalFormatting sqref="Q32:R32">
    <cfRule type="cellIs" dxfId="2365" priority="133" operator="between">
      <formula>50</formula>
      <formula>54.9</formula>
    </cfRule>
    <cfRule type="cellIs" dxfId="2364" priority="134" operator="between">
      <formula>65.1</formula>
      <formula>70</formula>
    </cfRule>
    <cfRule type="expression" dxfId="2363" priority="135">
      <formula>Q32&lt;50</formula>
    </cfRule>
    <cfRule type="expression" dxfId="2362" priority="136">
      <formula>Q32&gt;70</formula>
    </cfRule>
  </conditionalFormatting>
  <conditionalFormatting sqref="I39 M39 Q39">
    <cfRule type="expression" dxfId="2361" priority="131">
      <formula>I39&lt;20</formula>
    </cfRule>
    <cfRule type="expression" dxfId="2360" priority="132">
      <formula>I39&gt;30</formula>
    </cfRule>
  </conditionalFormatting>
  <conditionalFormatting sqref="K39 O39 S39">
    <cfRule type="expression" dxfId="2359" priority="129">
      <formula>K39&lt;20</formula>
    </cfRule>
    <cfRule type="expression" dxfId="2358" priority="130">
      <formula>K39&gt;30</formula>
    </cfRule>
  </conditionalFormatting>
  <conditionalFormatting sqref="I15 M15 Q15">
    <cfRule type="cellIs" dxfId="2357" priority="125" operator="between">
      <formula>7</formula>
      <formula>7.499</formula>
    </cfRule>
    <cfRule type="cellIs" dxfId="2356" priority="126" operator="between">
      <formula>9.51</formula>
      <formula>10</formula>
    </cfRule>
    <cfRule type="expression" dxfId="2355" priority="127">
      <formula>I15&lt;7</formula>
    </cfRule>
    <cfRule type="expression" dxfId="2354" priority="128">
      <formula>I15&gt;10</formula>
    </cfRule>
  </conditionalFormatting>
  <conditionalFormatting sqref="I17 M17 Q17">
    <cfRule type="cellIs" dxfId="2353" priority="89" operator="between">
      <formula>2</formula>
      <formula>2.099</formula>
    </cfRule>
    <cfRule type="cellIs" dxfId="2352" priority="90" operator="between">
      <formula>2.31</formula>
      <formula>2.4</formula>
    </cfRule>
    <cfRule type="expression" dxfId="2351" priority="91">
      <formula>I17&lt;2</formula>
    </cfRule>
    <cfRule type="expression" dxfId="2350" priority="92">
      <formula>I17&gt;2.4</formula>
    </cfRule>
  </conditionalFormatting>
  <conditionalFormatting sqref="I23">
    <cfRule type="cellIs" dxfId="2349" priority="77" operator="between">
      <formula>5</formula>
      <formula>5.499</formula>
    </cfRule>
    <cfRule type="cellIs" dxfId="2348" priority="78" operator="between">
      <formula>6.51</formula>
      <formula>8</formula>
    </cfRule>
    <cfRule type="expression" dxfId="2347" priority="79">
      <formula>I23&lt;5</formula>
    </cfRule>
    <cfRule type="expression" dxfId="2346" priority="80">
      <formula>I23&gt;8</formula>
    </cfRule>
  </conditionalFormatting>
  <conditionalFormatting sqref="I24">
    <cfRule type="cellIs" dxfId="2345" priority="73" operator="between">
      <formula>1.8</formula>
      <formula>1.999</formula>
    </cfRule>
    <cfRule type="cellIs" dxfId="2344" priority="74" operator="between">
      <formula>2.21</formula>
      <formula>2.4</formula>
    </cfRule>
    <cfRule type="expression" dxfId="2343" priority="75">
      <formula>I24&lt;1.8</formula>
    </cfRule>
    <cfRule type="expression" dxfId="2342" priority="76">
      <formula>I24&gt;2.4</formula>
    </cfRule>
  </conditionalFormatting>
  <conditionalFormatting sqref="M23">
    <cfRule type="cellIs" dxfId="2341" priority="69" operator="between">
      <formula>5</formula>
      <formula>5.499</formula>
    </cfRule>
    <cfRule type="cellIs" dxfId="2340" priority="70" operator="between">
      <formula>6.51</formula>
      <formula>8</formula>
    </cfRule>
    <cfRule type="expression" dxfId="2339" priority="71">
      <formula>M23&lt;5</formula>
    </cfRule>
    <cfRule type="expression" dxfId="2338" priority="72">
      <formula>M23&gt;8</formula>
    </cfRule>
  </conditionalFormatting>
  <conditionalFormatting sqref="M24">
    <cfRule type="cellIs" dxfId="2337" priority="65" operator="between">
      <formula>1.8</formula>
      <formula>1.999</formula>
    </cfRule>
    <cfRule type="cellIs" dxfId="2336" priority="66" operator="between">
      <formula>2.21</formula>
      <formula>2.4</formula>
    </cfRule>
    <cfRule type="expression" dxfId="2335" priority="67">
      <formula>M24&lt;1.8</formula>
    </cfRule>
    <cfRule type="expression" dxfId="2334" priority="68">
      <formula>M24&gt;2.4</formula>
    </cfRule>
  </conditionalFormatting>
  <conditionalFormatting sqref="Q23">
    <cfRule type="cellIs" dxfId="2333" priority="61" operator="between">
      <formula>5</formula>
      <formula>5.499</formula>
    </cfRule>
    <cfRule type="cellIs" dxfId="2332" priority="62" operator="between">
      <formula>6.51</formula>
      <formula>8</formula>
    </cfRule>
    <cfRule type="expression" dxfId="2331" priority="63">
      <formula>Q23&lt;5</formula>
    </cfRule>
    <cfRule type="expression" dxfId="2330" priority="64">
      <formula>Q23&gt;8</formula>
    </cfRule>
  </conditionalFormatting>
  <conditionalFormatting sqref="Q24">
    <cfRule type="cellIs" dxfId="2329" priority="57" operator="between">
      <formula>1.8</formula>
      <formula>1.999</formula>
    </cfRule>
    <cfRule type="cellIs" dxfId="2328" priority="58" operator="between">
      <formula>2.21</formula>
      <formula>2.4</formula>
    </cfRule>
    <cfRule type="expression" dxfId="2327" priority="59">
      <formula>Q24&lt;1.8</formula>
    </cfRule>
    <cfRule type="expression" dxfId="2326" priority="60">
      <formula>Q24&gt;2.4</formula>
    </cfRule>
  </conditionalFormatting>
  <conditionalFormatting sqref="I18">
    <cfRule type="expression" dxfId="2325" priority="47">
      <formula>I18&lt;40%</formula>
    </cfRule>
    <cfRule type="expression" dxfId="2324" priority="48">
      <formula>I18&gt;50%</formula>
    </cfRule>
  </conditionalFormatting>
  <conditionalFormatting sqref="I20:I21">
    <cfRule type="expression" dxfId="2323" priority="45">
      <formula>I20&lt;40%</formula>
    </cfRule>
    <cfRule type="expression" dxfId="2322" priority="46">
      <formula>I20&gt;50%</formula>
    </cfRule>
  </conditionalFormatting>
  <conditionalFormatting sqref="M18">
    <cfRule type="expression" dxfId="2321" priority="41">
      <formula>M18&lt;40%</formula>
    </cfRule>
    <cfRule type="expression" dxfId="2320" priority="42">
      <formula>M18&gt;50%</formula>
    </cfRule>
  </conditionalFormatting>
  <conditionalFormatting sqref="M20:M21">
    <cfRule type="expression" dxfId="2319" priority="39">
      <formula>M20&lt;40%</formula>
    </cfRule>
    <cfRule type="expression" dxfId="2318" priority="40">
      <formula>M20&gt;50%</formula>
    </cfRule>
  </conditionalFormatting>
  <conditionalFormatting sqref="Q18">
    <cfRule type="expression" dxfId="2317" priority="35">
      <formula>Q18&lt;40%</formula>
    </cfRule>
    <cfRule type="expression" dxfId="2316" priority="36">
      <formula>Q18&gt;50%</formula>
    </cfRule>
  </conditionalFormatting>
  <conditionalFormatting sqref="Q20:Q21">
    <cfRule type="expression" dxfId="2315" priority="33">
      <formula>Q20&lt;40%</formula>
    </cfRule>
    <cfRule type="expression" dxfId="2314" priority="34">
      <formula>Q20&gt;50%</formula>
    </cfRule>
  </conditionalFormatting>
  <conditionalFormatting sqref="I19">
    <cfRule type="cellIs" dxfId="2313" priority="21" operator="between">
      <formula>15%</formula>
      <formula>15.99%</formula>
    </cfRule>
    <cfRule type="cellIs" dxfId="2312" priority="22" operator="between">
      <formula>20.01%</formula>
      <formula>25%</formula>
    </cfRule>
    <cfRule type="expression" dxfId="2311" priority="23">
      <formula>I19&lt;15%</formula>
    </cfRule>
    <cfRule type="expression" dxfId="2310" priority="24">
      <formula>I19&gt;25%</formula>
    </cfRule>
  </conditionalFormatting>
  <conditionalFormatting sqref="M19">
    <cfRule type="cellIs" dxfId="2309" priority="17" operator="between">
      <formula>15%</formula>
      <formula>15.99%</formula>
    </cfRule>
    <cfRule type="cellIs" dxfId="2308" priority="18" operator="between">
      <formula>20.01%</formula>
      <formula>25%</formula>
    </cfRule>
    <cfRule type="expression" dxfId="2307" priority="19">
      <formula>M19&lt;15%</formula>
    </cfRule>
    <cfRule type="expression" dxfId="2306" priority="20">
      <formula>M19&gt;25%</formula>
    </cfRule>
  </conditionalFormatting>
  <conditionalFormatting sqref="Q19">
    <cfRule type="cellIs" dxfId="2305" priority="13" operator="between">
      <formula>15%</formula>
      <formula>15.99%</formula>
    </cfRule>
    <cfRule type="cellIs" dxfId="2304" priority="14" operator="between">
      <formula>20.01%</formula>
      <formula>25%</formula>
    </cfRule>
    <cfRule type="expression" dxfId="2303" priority="15">
      <formula>Q19&lt;15%</formula>
    </cfRule>
    <cfRule type="expression" dxfId="2302" priority="16">
      <formula>Q19&gt;25%</formula>
    </cfRule>
  </conditionalFormatting>
  <conditionalFormatting sqref="I22">
    <cfRule type="cellIs" dxfId="2301" priority="9" operator="between">
      <formula>0.5%</formula>
      <formula>0.599%</formula>
    </cfRule>
    <cfRule type="cellIs" dxfId="2300" priority="10" operator="between">
      <formula>0.81%</formula>
      <formula>1%</formula>
    </cfRule>
    <cfRule type="expression" dxfId="2299" priority="11">
      <formula>I22&lt;0.5%</formula>
    </cfRule>
    <cfRule type="expression" dxfId="2298" priority="12">
      <formula>I22&gt;1%</formula>
    </cfRule>
  </conditionalFormatting>
  <conditionalFormatting sqref="M22">
    <cfRule type="cellIs" dxfId="2297" priority="5" operator="between">
      <formula>0.5%</formula>
      <formula>0.599%</formula>
    </cfRule>
    <cfRule type="cellIs" dxfId="2296" priority="6" operator="between">
      <formula>0.81%</formula>
      <formula>1%</formula>
    </cfRule>
    <cfRule type="expression" dxfId="2295" priority="7">
      <formula>M22&lt;0.5%</formula>
    </cfRule>
    <cfRule type="expression" dxfId="2294" priority="8">
      <formula>M22&gt;1%</formula>
    </cfRule>
  </conditionalFormatting>
  <conditionalFormatting sqref="Q22">
    <cfRule type="cellIs" dxfId="2293" priority="1" operator="between">
      <formula>0.5%</formula>
      <formula>0.599%</formula>
    </cfRule>
    <cfRule type="cellIs" dxfId="2292" priority="2" operator="between">
      <formula>0.81%</formula>
      <formula>1%</formula>
    </cfRule>
    <cfRule type="expression" dxfId="2291" priority="3">
      <formula>Q22&lt;0.5%</formula>
    </cfRule>
    <cfRule type="expression" dxfId="2290" priority="4">
      <formula>Q22&gt;1%</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tabColor rgb="FFFF0000"/>
  </sheetPr>
  <dimension ref="A1:T23"/>
  <sheetViews>
    <sheetView view="pageBreakPreview" zoomScale="70" zoomScaleNormal="70" zoomScaleSheetLayoutView="70" workbookViewId="0">
      <selection activeCell="B20" sqref="B20:C22"/>
    </sheetView>
  </sheetViews>
  <sheetFormatPr defaultRowHeight="16.5"/>
  <cols>
    <col min="1" max="1" width="5" style="8" customWidth="1"/>
    <col min="2" max="2" width="13.875" style="30" customWidth="1"/>
    <col min="3" max="3" width="4.375" style="30" customWidth="1"/>
    <col min="4" max="4" width="6.75" style="30" customWidth="1"/>
    <col min="5" max="5" width="2.75" style="30"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3446" t="s">
        <v>134</v>
      </c>
      <c r="B1" s="3446"/>
      <c r="C1" s="3446"/>
      <c r="D1" s="3446"/>
      <c r="E1" s="3446"/>
      <c r="F1" s="3446"/>
      <c r="G1" s="3446"/>
      <c r="H1" s="3446"/>
      <c r="I1" s="3446"/>
      <c r="J1" s="3446"/>
      <c r="K1" s="3446"/>
      <c r="L1" s="3446"/>
      <c r="M1" s="3446"/>
      <c r="N1" s="3446"/>
      <c r="O1" s="3446"/>
      <c r="P1" s="3446"/>
      <c r="Q1" s="1635" t="s">
        <v>1491</v>
      </c>
      <c r="R1" s="1635"/>
      <c r="S1" s="1635"/>
      <c r="T1" s="1635"/>
    </row>
    <row r="2" spans="1:20" ht="51.75" customHeight="1">
      <c r="A2" s="3475" t="s">
        <v>1438</v>
      </c>
      <c r="B2" s="3475"/>
      <c r="C2" s="3475"/>
      <c r="D2" s="3475"/>
      <c r="E2" s="3475"/>
      <c r="F2" s="3475"/>
      <c r="G2" s="3475"/>
      <c r="H2" s="3475"/>
      <c r="I2" s="3475"/>
      <c r="J2" s="3475"/>
      <c r="K2" s="3475"/>
      <c r="L2" s="3475"/>
      <c r="M2" s="3475"/>
      <c r="N2" s="3475"/>
      <c r="O2" s="3475"/>
      <c r="P2" s="3476"/>
      <c r="Q2" s="3395" t="s">
        <v>87</v>
      </c>
      <c r="R2" s="3395"/>
      <c r="S2" s="3465" t="s">
        <v>1341</v>
      </c>
      <c r="T2" s="3465"/>
    </row>
    <row r="3" spans="1:20" ht="34.5" customHeight="1">
      <c r="A3" s="9"/>
      <c r="B3" s="3477" t="s">
        <v>1492</v>
      </c>
      <c r="C3" s="3477"/>
      <c r="D3" s="2681" t="s">
        <v>1594</v>
      </c>
      <c r="E3" s="1812"/>
      <c r="F3" s="1814" t="str">
        <f>MENU!$AC$9</f>
        <v>Thứ 5,</v>
      </c>
      <c r="G3" s="1815" t="str">
        <f>MENU!$AD$9</f>
        <v>2024/08/01</v>
      </c>
      <c r="H3" s="1815"/>
      <c r="I3" s="27"/>
      <c r="J3" s="27"/>
      <c r="K3" s="27"/>
      <c r="L3" s="28"/>
      <c r="M3" s="28"/>
      <c r="N3" s="28"/>
      <c r="O3" s="28"/>
      <c r="P3" s="28"/>
      <c r="Q3" s="3464" t="str">
        <f>'3.XT-C TT'!S3</f>
        <v>L.Yen</v>
      </c>
      <c r="R3" s="3464"/>
      <c r="S3" s="3466"/>
      <c r="T3" s="3466"/>
    </row>
    <row r="4" spans="1:20" s="61" customFormat="1" ht="41.25" customHeight="1">
      <c r="A4" s="3431" t="s">
        <v>7</v>
      </c>
      <c r="B4" s="3143" t="s">
        <v>75</v>
      </c>
      <c r="C4" s="3144"/>
      <c r="D4" s="3144"/>
      <c r="E4" s="3145"/>
      <c r="F4" s="3395" t="s">
        <v>123</v>
      </c>
      <c r="G4" s="3180" t="s">
        <v>1296</v>
      </c>
      <c r="H4" s="3185" t="s">
        <v>1289</v>
      </c>
      <c r="I4" s="3201">
        <v>0.30208333333333331</v>
      </c>
      <c r="J4" s="3199"/>
      <c r="K4" s="3199"/>
      <c r="L4" s="3200"/>
      <c r="M4" s="3198">
        <v>0.46875</v>
      </c>
      <c r="N4" s="3199"/>
      <c r="O4" s="3199"/>
      <c r="P4" s="3200"/>
      <c r="Q4" s="3467">
        <v>0.63541666666666663</v>
      </c>
      <c r="R4" s="3395"/>
      <c r="S4" s="3395"/>
      <c r="T4" s="3395"/>
    </row>
    <row r="5" spans="1:20" s="61" customFormat="1" ht="35.25" customHeight="1">
      <c r="A5" s="3431"/>
      <c r="B5" s="3146"/>
      <c r="C5" s="3147"/>
      <c r="D5" s="3147"/>
      <c r="E5" s="3148"/>
      <c r="F5" s="3396"/>
      <c r="G5" s="3181"/>
      <c r="H5" s="3186"/>
      <c r="I5" s="2220" t="s">
        <v>128</v>
      </c>
      <c r="J5" s="3170" t="s">
        <v>1</v>
      </c>
      <c r="K5" s="3171"/>
      <c r="L5" s="3172"/>
      <c r="M5" s="52" t="s">
        <v>128</v>
      </c>
      <c r="N5" s="3170" t="s">
        <v>1</v>
      </c>
      <c r="O5" s="3171"/>
      <c r="P5" s="3172"/>
      <c r="Q5" s="1676" t="s">
        <v>128</v>
      </c>
      <c r="R5" s="3396" t="s">
        <v>1</v>
      </c>
      <c r="S5" s="3396"/>
      <c r="T5" s="3396"/>
    </row>
    <row r="6" spans="1:20" ht="36.75" customHeight="1">
      <c r="A6" s="1455">
        <v>1</v>
      </c>
      <c r="B6" s="3471" t="s">
        <v>1671</v>
      </c>
      <c r="C6" s="3472"/>
      <c r="D6" s="3458" t="s">
        <v>115</v>
      </c>
      <c r="E6" s="3459"/>
      <c r="F6" s="542" t="s">
        <v>4</v>
      </c>
      <c r="G6" s="897" t="str">
        <f>'XM.GUI MAIL'!$E$99</f>
        <v>5~6</v>
      </c>
      <c r="H6" s="2202" t="str">
        <f>'XM.GUI MAIL'!$F$99</f>
        <v>(5.5± 0.5)</v>
      </c>
      <c r="I6" s="2211" t="str">
        <f>'XM.GUI MAIL'!I99</f>
        <v/>
      </c>
      <c r="J6" s="816" t="s">
        <v>8</v>
      </c>
      <c r="K6" s="817" t="str">
        <f>'XM.GUI MAIL'!L99</f>
        <v/>
      </c>
      <c r="L6" s="66" t="s">
        <v>9</v>
      </c>
      <c r="M6" s="53" t="str">
        <f>'XM.GUI MAIL'!P99</f>
        <v/>
      </c>
      <c r="N6" s="816" t="s">
        <v>8</v>
      </c>
      <c r="O6" s="817" t="str">
        <f>'XM.GUI MAIL'!S99</f>
        <v/>
      </c>
      <c r="P6" s="66" t="s">
        <v>9</v>
      </c>
      <c r="Q6" s="53" t="str">
        <f>'XM.GUI MAIL'!W99</f>
        <v/>
      </c>
      <c r="R6" s="2053" t="s">
        <v>8</v>
      </c>
      <c r="S6" s="2054" t="str">
        <f>'XM.GUI MAIL'!Z99</f>
        <v/>
      </c>
      <c r="T6" s="64" t="s">
        <v>9</v>
      </c>
    </row>
    <row r="7" spans="1:20" ht="36.75" customHeight="1">
      <c r="A7" s="1455">
        <v>2</v>
      </c>
      <c r="B7" s="3473"/>
      <c r="C7" s="3474"/>
      <c r="D7" s="3458" t="s">
        <v>99</v>
      </c>
      <c r="E7" s="3459"/>
      <c r="F7" s="542" t="s">
        <v>4</v>
      </c>
      <c r="G7" s="897" t="str">
        <f>'XM.GUI MAIL'!$E$100</f>
        <v>130~140</v>
      </c>
      <c r="H7" s="2202" t="str">
        <f>'XM.GUI MAIL'!$F$100</f>
        <v>(135 ± 5)</v>
      </c>
      <c r="I7" s="2211">
        <f>'XM.GUI MAIL'!I100</f>
        <v>0</v>
      </c>
      <c r="J7" s="816" t="s">
        <v>8</v>
      </c>
      <c r="K7" s="817" t="str">
        <f>'XM.GUI MAIL'!L100</f>
        <v/>
      </c>
      <c r="L7" s="66" t="s">
        <v>976</v>
      </c>
      <c r="M7" s="53">
        <f>'XM.GUI MAIL'!P100</f>
        <v>0</v>
      </c>
      <c r="N7" s="816" t="s">
        <v>8</v>
      </c>
      <c r="O7" s="817" t="str">
        <f>'XM.GUI MAIL'!S100</f>
        <v/>
      </c>
      <c r="P7" s="66" t="s">
        <v>976</v>
      </c>
      <c r="Q7" s="53">
        <f>'XM.GUI MAIL'!W100</f>
        <v>0</v>
      </c>
      <c r="R7" s="2053" t="s">
        <v>8</v>
      </c>
      <c r="S7" s="2054" t="str">
        <f>'XM.GUI MAIL'!Z100</f>
        <v/>
      </c>
      <c r="T7" s="64" t="s">
        <v>980</v>
      </c>
    </row>
    <row r="8" spans="1:20" ht="36.75" customHeight="1">
      <c r="A8" s="1455">
        <v>3</v>
      </c>
      <c r="B8" s="3292" t="s">
        <v>1672</v>
      </c>
      <c r="C8" s="3294"/>
      <c r="D8" s="3458" t="s">
        <v>5</v>
      </c>
      <c r="E8" s="3459"/>
      <c r="F8" s="76" t="s">
        <v>5</v>
      </c>
      <c r="G8" s="897" t="str">
        <f>'XM.GUI MAIL'!$E$101</f>
        <v>3.0-4.5</v>
      </c>
      <c r="H8" s="2202" t="str">
        <f>'XM.GUI MAIL'!$F$101</f>
        <v>(4.3±0.2)</v>
      </c>
      <c r="I8" s="2225">
        <f>'XM.GUI MAIL'!I101</f>
        <v>0</v>
      </c>
      <c r="J8" s="816" t="s">
        <v>8</v>
      </c>
      <c r="K8" s="817"/>
      <c r="L8" s="66"/>
      <c r="M8" s="59">
        <f>'XM.GUI MAIL'!P101</f>
        <v>0</v>
      </c>
      <c r="N8" s="816" t="s">
        <v>8</v>
      </c>
      <c r="O8" s="817"/>
      <c r="P8" s="66"/>
      <c r="Q8" s="59">
        <f>'XM.GUI MAIL'!W101</f>
        <v>0</v>
      </c>
      <c r="R8" s="2053" t="s">
        <v>8</v>
      </c>
      <c r="S8" s="2054"/>
      <c r="T8" s="64"/>
    </row>
    <row r="9" spans="1:20" ht="44.25" customHeight="1">
      <c r="A9" s="1455">
        <v>4</v>
      </c>
      <c r="B9" s="3457" t="s">
        <v>1631</v>
      </c>
      <c r="C9" s="3457"/>
      <c r="D9" s="3457"/>
      <c r="E9" s="3457"/>
      <c r="F9" s="2805" t="s">
        <v>54</v>
      </c>
      <c r="G9" s="2806">
        <f>'XM.GUI MAIL'!$E$102</f>
        <v>0</v>
      </c>
      <c r="H9" s="2807">
        <f>'XM.GUI MAIL'!$F$102</f>
        <v>0</v>
      </c>
      <c r="I9" s="8" t="str">
        <f>'XM.GUI MAIL'!I102</f>
        <v/>
      </c>
      <c r="J9" s="816" t="s">
        <v>8</v>
      </c>
      <c r="K9" s="817" t="str">
        <f>'XM.GUI MAIL'!L102</f>
        <v/>
      </c>
      <c r="L9" s="66" t="s">
        <v>976</v>
      </c>
      <c r="M9" s="8" t="str">
        <f>'XM.GUI MAIL'!P102</f>
        <v/>
      </c>
      <c r="N9" s="816" t="s">
        <v>8</v>
      </c>
      <c r="O9" s="817" t="str">
        <f>'XM.GUI MAIL'!S102</f>
        <v/>
      </c>
      <c r="P9" s="66" t="s">
        <v>976</v>
      </c>
      <c r="Q9" s="8" t="str">
        <f>'XM.GUI MAIL'!W102</f>
        <v/>
      </c>
      <c r="R9" s="2053" t="s">
        <v>8</v>
      </c>
      <c r="S9" s="2054" t="str">
        <f>'XM.GUI MAIL'!Z102</f>
        <v/>
      </c>
      <c r="T9" s="64" t="s">
        <v>980</v>
      </c>
    </row>
    <row r="10" spans="1:20" ht="41.25" customHeight="1">
      <c r="A10" s="1444"/>
      <c r="B10" s="3478" t="s">
        <v>2</v>
      </c>
      <c r="C10" s="3478"/>
      <c r="D10" s="3478"/>
      <c r="E10" s="3478"/>
      <c r="F10" s="3478"/>
      <c r="G10" s="3478"/>
      <c r="H10" s="3478"/>
      <c r="I10" s="3478"/>
      <c r="J10" s="3478"/>
      <c r="K10" s="3478"/>
      <c r="L10" s="3478"/>
      <c r="M10" s="3478"/>
      <c r="N10" s="3478"/>
      <c r="O10" s="3478"/>
      <c r="P10" s="3478"/>
      <c r="Q10" s="3478"/>
      <c r="R10" s="3478"/>
      <c r="S10" s="3478"/>
      <c r="T10" s="3478"/>
    </row>
    <row r="11" spans="1:20" ht="62.25" customHeight="1">
      <c r="A11" s="1444" t="s">
        <v>7</v>
      </c>
      <c r="B11" s="3417" t="s">
        <v>21</v>
      </c>
      <c r="C11" s="3418"/>
      <c r="D11" s="3418"/>
      <c r="E11" s="3419"/>
      <c r="F11" s="74" t="s">
        <v>22</v>
      </c>
      <c r="G11" s="975" t="s">
        <v>1296</v>
      </c>
      <c r="H11" s="2204" t="s">
        <v>1289</v>
      </c>
      <c r="I11" s="3293" t="s">
        <v>24</v>
      </c>
      <c r="J11" s="3294"/>
      <c r="K11" s="3292" t="s">
        <v>25</v>
      </c>
      <c r="L11" s="3294"/>
      <c r="M11" s="3292" t="s">
        <v>24</v>
      </c>
      <c r="N11" s="3294"/>
      <c r="O11" s="3292" t="s">
        <v>25</v>
      </c>
      <c r="P11" s="3294"/>
      <c r="Q11" s="3479" t="s">
        <v>24</v>
      </c>
      <c r="R11" s="3479"/>
      <c r="S11" s="3479" t="s">
        <v>25</v>
      </c>
      <c r="T11" s="3479"/>
    </row>
    <row r="12" spans="1:20" ht="43.5" customHeight="1">
      <c r="A12" s="76">
        <v>4</v>
      </c>
      <c r="B12" s="3292" t="s">
        <v>116</v>
      </c>
      <c r="C12" s="3293"/>
      <c r="D12" s="3293"/>
      <c r="E12" s="3294"/>
      <c r="F12" s="11" t="s">
        <v>26</v>
      </c>
      <c r="G12" s="1008" t="str">
        <f>'XM.GUI MAIL'!$E$117</f>
        <v>24~28</v>
      </c>
      <c r="H12" s="2206" t="str">
        <f>'XM.GUI MAIL'!$F$117</f>
        <v>(26±2)</v>
      </c>
      <c r="I12" s="3357">
        <f>'XM.GUI MAIL'!I117</f>
        <v>0</v>
      </c>
      <c r="J12" s="3357"/>
      <c r="K12" s="3295">
        <f>'XM.GUI MAIL'!L117</f>
        <v>0</v>
      </c>
      <c r="L12" s="3357"/>
      <c r="M12" s="3295">
        <f>'XM.GUI MAIL'!P117</f>
        <v>0</v>
      </c>
      <c r="N12" s="3357"/>
      <c r="O12" s="3295">
        <f>'XM.GUI MAIL'!S117</f>
        <v>0</v>
      </c>
      <c r="P12" s="3357"/>
      <c r="Q12" s="3283">
        <f>'XM.GUI MAIL'!W117</f>
        <v>0</v>
      </c>
      <c r="R12" s="3283"/>
      <c r="S12" s="3283">
        <f>'XM.GUI MAIL'!Z117</f>
        <v>0</v>
      </c>
      <c r="T12" s="3283"/>
    </row>
    <row r="13" spans="1:20" ht="43.5" customHeight="1">
      <c r="A13" s="76">
        <v>5</v>
      </c>
      <c r="B13" s="3292" t="s">
        <v>1278</v>
      </c>
      <c r="C13" s="3293"/>
      <c r="D13" s="3293"/>
      <c r="E13" s="3294"/>
      <c r="F13" s="11" t="s">
        <v>26</v>
      </c>
      <c r="G13" s="1008" t="str">
        <f>'XM.GUI MAIL'!$E$118</f>
        <v>20~30</v>
      </c>
      <c r="H13" s="2206" t="str">
        <f>'XM.GUI MAIL'!$F$118</f>
        <v>(25±5)</v>
      </c>
      <c r="I13" s="3357">
        <f>'XM.GUI MAIL'!I118</f>
        <v>0</v>
      </c>
      <c r="J13" s="3357"/>
      <c r="K13" s="3295">
        <f>'XM.GUI MAIL'!L118</f>
        <v>0</v>
      </c>
      <c r="L13" s="3357"/>
      <c r="M13" s="3295">
        <f>'XM.GUI MAIL'!P118</f>
        <v>0</v>
      </c>
      <c r="N13" s="3357"/>
      <c r="O13" s="3295">
        <f>'XM.GUI MAIL'!S118</f>
        <v>0</v>
      </c>
      <c r="P13" s="3357"/>
      <c r="Q13" s="3283">
        <f>'XM.GUI MAIL'!W118</f>
        <v>0</v>
      </c>
      <c r="R13" s="3283"/>
      <c r="S13" s="3283">
        <f>'XM.GUI MAIL'!Z118</f>
        <v>0</v>
      </c>
      <c r="T13" s="3283"/>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057"/>
      <c r="B15" s="2058"/>
      <c r="C15" s="2058"/>
      <c r="D15" s="2058"/>
      <c r="E15" s="2058"/>
      <c r="F15" s="2059"/>
      <c r="G15" s="2060"/>
      <c r="H15" s="2060"/>
      <c r="I15" s="2058"/>
      <c r="J15" s="2058"/>
      <c r="K15" s="2058"/>
      <c r="L15" s="2058"/>
      <c r="M15" s="2058"/>
      <c r="N15" s="2058"/>
      <c r="O15" s="2058"/>
      <c r="P15" s="2058"/>
      <c r="Q15" s="2058"/>
      <c r="R15" s="2058"/>
      <c r="S15" s="2058"/>
      <c r="T15" s="2058"/>
    </row>
    <row r="16" spans="1:20" ht="39" customHeight="1">
      <c r="A16" s="3470" t="s">
        <v>1437</v>
      </c>
      <c r="B16" s="3470"/>
      <c r="C16" s="3470"/>
      <c r="D16" s="3470"/>
      <c r="E16" s="3470"/>
      <c r="F16" s="3470"/>
      <c r="G16" s="3470"/>
      <c r="H16" s="3470"/>
      <c r="I16" s="3470"/>
      <c r="J16" s="3470"/>
      <c r="K16" s="3470"/>
      <c r="L16" s="3470"/>
      <c r="M16" s="3470"/>
      <c r="N16" s="3470"/>
      <c r="O16" s="3470"/>
      <c r="P16" s="3470"/>
      <c r="Q16" s="3470"/>
      <c r="R16" s="3470"/>
      <c r="S16" s="3470"/>
      <c r="T16" s="3470"/>
    </row>
    <row r="17" spans="1:20" ht="24" customHeight="1"/>
    <row r="18" spans="1:20" ht="36" customHeight="1">
      <c r="A18" s="3431" t="s">
        <v>7</v>
      </c>
      <c r="B18" s="3143" t="s">
        <v>75</v>
      </c>
      <c r="C18" s="3144"/>
      <c r="D18" s="3144"/>
      <c r="E18" s="3145"/>
      <c r="F18" s="3395" t="s">
        <v>123</v>
      </c>
      <c r="G18" s="3180" t="s">
        <v>1296</v>
      </c>
      <c r="H18" s="3468" t="s">
        <v>1289</v>
      </c>
      <c r="I18" s="3198">
        <v>0.30208333333333331</v>
      </c>
      <c r="J18" s="3199"/>
      <c r="K18" s="3199"/>
      <c r="L18" s="3200"/>
      <c r="M18" s="3198">
        <v>0.46875</v>
      </c>
      <c r="N18" s="3199"/>
      <c r="O18" s="3199"/>
      <c r="P18" s="3200"/>
      <c r="Q18" s="3198">
        <v>0.63541666666666663</v>
      </c>
      <c r="R18" s="3199"/>
      <c r="S18" s="3199"/>
      <c r="T18" s="3200"/>
    </row>
    <row r="19" spans="1:20" ht="60.75" customHeight="1">
      <c r="A19" s="3431"/>
      <c r="B19" s="3146"/>
      <c r="C19" s="3147"/>
      <c r="D19" s="3147"/>
      <c r="E19" s="3148"/>
      <c r="F19" s="3396"/>
      <c r="G19" s="3181"/>
      <c r="H19" s="3469"/>
      <c r="I19" s="3462" t="s">
        <v>1433</v>
      </c>
      <c r="J19" s="3463"/>
      <c r="K19" s="3460" t="s">
        <v>1355</v>
      </c>
      <c r="L19" s="3461"/>
      <c r="M19" s="3462" t="s">
        <v>1433</v>
      </c>
      <c r="N19" s="3463"/>
      <c r="O19" s="3460" t="s">
        <v>1355</v>
      </c>
      <c r="P19" s="3461"/>
      <c r="Q19" s="3462" t="s">
        <v>1433</v>
      </c>
      <c r="R19" s="3463"/>
      <c r="S19" s="3460" t="s">
        <v>1355</v>
      </c>
      <c r="T19" s="3461"/>
    </row>
    <row r="20" spans="1:20" ht="54" customHeight="1">
      <c r="A20" s="1455">
        <v>1</v>
      </c>
      <c r="B20" s="3471" t="s">
        <v>1671</v>
      </c>
      <c r="C20" s="3472"/>
      <c r="D20" s="3458" t="s">
        <v>115</v>
      </c>
      <c r="E20" s="3459"/>
      <c r="F20" s="542" t="s">
        <v>4</v>
      </c>
      <c r="G20" s="897" t="str">
        <f>'XM.GUI MAIL'!$E$99</f>
        <v>5~6</v>
      </c>
      <c r="H20" s="897" t="str">
        <f>'XM.GUI MAIL'!$F$99</f>
        <v>(5.5± 0.5)</v>
      </c>
      <c r="I20" s="2020"/>
      <c r="J20" s="1808" t="s">
        <v>9</v>
      </c>
      <c r="K20" s="1809"/>
      <c r="L20" s="1810" t="s">
        <v>4</v>
      </c>
      <c r="M20" s="2020"/>
      <c r="N20" s="1808" t="s">
        <v>9</v>
      </c>
      <c r="O20" s="1809"/>
      <c r="P20" s="1810" t="s">
        <v>4</v>
      </c>
      <c r="Q20" s="2020"/>
      <c r="R20" s="1808" t="s">
        <v>9</v>
      </c>
      <c r="S20" s="1809"/>
      <c r="T20" s="1810" t="s">
        <v>4</v>
      </c>
    </row>
    <row r="21" spans="1:20" ht="54" customHeight="1">
      <c r="A21" s="1455">
        <v>2</v>
      </c>
      <c r="B21" s="3473"/>
      <c r="C21" s="3474"/>
      <c r="D21" s="3458" t="s">
        <v>99</v>
      </c>
      <c r="E21" s="3459"/>
      <c r="F21" s="542" t="s">
        <v>4</v>
      </c>
      <c r="G21" s="897" t="str">
        <f>'XM.GUI MAIL'!$E$100</f>
        <v>130~140</v>
      </c>
      <c r="H21" s="897" t="str">
        <f>'XM.GUI MAIL'!$F$100</f>
        <v>(135 ± 5)</v>
      </c>
      <c r="I21" s="2020"/>
      <c r="J21" s="1808" t="s">
        <v>976</v>
      </c>
      <c r="K21" s="1809"/>
      <c r="L21" s="1810" t="s">
        <v>4</v>
      </c>
      <c r="M21" s="2020"/>
      <c r="N21" s="1808" t="s">
        <v>976</v>
      </c>
      <c r="O21" s="1809"/>
      <c r="P21" s="1810" t="s">
        <v>4</v>
      </c>
      <c r="Q21" s="2020"/>
      <c r="R21" s="1808" t="s">
        <v>976</v>
      </c>
      <c r="S21" s="1809"/>
      <c r="T21" s="1810" t="s">
        <v>4</v>
      </c>
    </row>
    <row r="22" spans="1:20" ht="54" customHeight="1">
      <c r="A22" s="1455">
        <v>3</v>
      </c>
      <c r="B22" s="3292" t="s">
        <v>1672</v>
      </c>
      <c r="C22" s="3294"/>
      <c r="D22" s="3458" t="s">
        <v>5</v>
      </c>
      <c r="E22" s="3459"/>
      <c r="F22" s="76" t="s">
        <v>5</v>
      </c>
      <c r="G22" s="897" t="str">
        <f>'XM.GUI MAIL'!$E$101</f>
        <v>3.0-4.5</v>
      </c>
      <c r="H22" s="897" t="str">
        <f>'XM.GUI MAIL'!$F$101</f>
        <v>(4.3±0.2)</v>
      </c>
      <c r="I22" s="2020"/>
      <c r="J22" s="1809"/>
      <c r="K22" s="1809"/>
      <c r="L22" s="1806" t="s">
        <v>5</v>
      </c>
      <c r="M22" s="2020"/>
      <c r="N22" s="1809"/>
      <c r="O22" s="1809"/>
      <c r="P22" s="1806" t="s">
        <v>5</v>
      </c>
      <c r="Q22" s="2020"/>
      <c r="R22" s="1809"/>
      <c r="S22" s="1809"/>
      <c r="T22" s="1806" t="s">
        <v>5</v>
      </c>
    </row>
    <row r="23" spans="1:20" ht="41.25" customHeight="1">
      <c r="A23" s="1455">
        <v>4</v>
      </c>
      <c r="B23" s="3457" t="s">
        <v>1631</v>
      </c>
      <c r="C23" s="3457"/>
      <c r="D23" s="3457"/>
      <c r="E23" s="3457"/>
      <c r="F23" s="2805" t="s">
        <v>54</v>
      </c>
      <c r="G23" s="2806">
        <f>'XM.GUI MAIL'!$E$102</f>
        <v>0</v>
      </c>
      <c r="H23" s="897">
        <f>'XM.GUI MAIL'!$F$102</f>
        <v>0</v>
      </c>
      <c r="I23" s="2808"/>
      <c r="J23" s="1808" t="s">
        <v>976</v>
      </c>
      <c r="K23" s="1809"/>
      <c r="L23" s="1810" t="s">
        <v>54</v>
      </c>
      <c r="M23" s="2020"/>
      <c r="N23" s="1808" t="s">
        <v>976</v>
      </c>
      <c r="O23" s="1809"/>
      <c r="P23" s="1810" t="s">
        <v>54</v>
      </c>
      <c r="Q23" s="2020"/>
      <c r="R23" s="1808" t="s">
        <v>976</v>
      </c>
      <c r="S23" s="1809"/>
      <c r="T23" s="1810" t="s">
        <v>54</v>
      </c>
    </row>
  </sheetData>
  <sheetProtection selectLockedCells="1"/>
  <mergeCells count="67">
    <mergeCell ref="A1:P1"/>
    <mergeCell ref="A2:P2"/>
    <mergeCell ref="M11:N11"/>
    <mergeCell ref="O11:P11"/>
    <mergeCell ref="M12:N12"/>
    <mergeCell ref="O12:P12"/>
    <mergeCell ref="B3:C3"/>
    <mergeCell ref="D7:E7"/>
    <mergeCell ref="B8:C8"/>
    <mergeCell ref="D8:E8"/>
    <mergeCell ref="B6:C7"/>
    <mergeCell ref="D6:E6"/>
    <mergeCell ref="B10:T10"/>
    <mergeCell ref="K11:L11"/>
    <mergeCell ref="Q11:R11"/>
    <mergeCell ref="S11:T11"/>
    <mergeCell ref="B20:C21"/>
    <mergeCell ref="D20:E20"/>
    <mergeCell ref="D21:E21"/>
    <mergeCell ref="F18:F19"/>
    <mergeCell ref="G18:G19"/>
    <mergeCell ref="H18:H19"/>
    <mergeCell ref="B13:E13"/>
    <mergeCell ref="B12:E12"/>
    <mergeCell ref="I12:J12"/>
    <mergeCell ref="K12:L12"/>
    <mergeCell ref="K19:L19"/>
    <mergeCell ref="I18:L18"/>
    <mergeCell ref="A16:T16"/>
    <mergeCell ref="A18:A19"/>
    <mergeCell ref="B18:E19"/>
    <mergeCell ref="M18:P18"/>
    <mergeCell ref="M19:N19"/>
    <mergeCell ref="O19:P19"/>
    <mergeCell ref="I19:J19"/>
    <mergeCell ref="Q12:R12"/>
    <mergeCell ref="J5:L5"/>
    <mergeCell ref="R5:T5"/>
    <mergeCell ref="I4:L4"/>
    <mergeCell ref="M4:P4"/>
    <mergeCell ref="N5:P5"/>
    <mergeCell ref="Q2:R2"/>
    <mergeCell ref="Q3:R3"/>
    <mergeCell ref="S2:T2"/>
    <mergeCell ref="S3:T3"/>
    <mergeCell ref="Q4:T4"/>
    <mergeCell ref="A4:A5"/>
    <mergeCell ref="B4:E5"/>
    <mergeCell ref="F4:F5"/>
    <mergeCell ref="G4:G5"/>
    <mergeCell ref="H4:H5"/>
    <mergeCell ref="B9:E9"/>
    <mergeCell ref="B23:E23"/>
    <mergeCell ref="S12:T12"/>
    <mergeCell ref="I13:J13"/>
    <mergeCell ref="K13:L13"/>
    <mergeCell ref="Q13:R13"/>
    <mergeCell ref="S13:T13"/>
    <mergeCell ref="M13:N13"/>
    <mergeCell ref="O13:P13"/>
    <mergeCell ref="B22:C22"/>
    <mergeCell ref="D22:E22"/>
    <mergeCell ref="S19:T19"/>
    <mergeCell ref="Q19:R19"/>
    <mergeCell ref="Q18:T18"/>
    <mergeCell ref="B11:E11"/>
    <mergeCell ref="I11:J11"/>
  </mergeCells>
  <conditionalFormatting sqref="I6 Q6 M6">
    <cfRule type="expression" dxfId="2289" priority="171" stopIfTrue="1">
      <formula>I6&gt;6</formula>
    </cfRule>
    <cfRule type="expression" dxfId="2288" priority="172" stopIfTrue="1">
      <formula>I6&lt;5</formula>
    </cfRule>
  </conditionalFormatting>
  <conditionalFormatting sqref="I7 Q7 M7">
    <cfRule type="expression" dxfId="2287" priority="167" stopIfTrue="1">
      <formula>I7&gt;140</formula>
    </cfRule>
    <cfRule type="expression" dxfId="2286" priority="168" stopIfTrue="1">
      <formula>I7&lt;130</formula>
    </cfRule>
  </conditionalFormatting>
  <conditionalFormatting sqref="I8 M8 Q8">
    <cfRule type="expression" dxfId="2285" priority="163" stopIfTrue="1">
      <formula>I8&gt;4.5</formula>
    </cfRule>
    <cfRule type="expression" dxfId="2284" priority="164" stopIfTrue="1">
      <formula>I8&lt;3</formula>
    </cfRule>
  </conditionalFormatting>
  <conditionalFormatting sqref="K13 Q13 S13 I13">
    <cfRule type="expression" dxfId="2283" priority="141">
      <formula>I13&lt;20</formula>
    </cfRule>
    <cfRule type="expression" dxfId="2282" priority="142">
      <formula>I13&gt;30</formula>
    </cfRule>
  </conditionalFormatting>
  <conditionalFormatting sqref="I12 K12 Q12 S12 M12 O12">
    <cfRule type="expression" dxfId="2281" priority="139">
      <formula>I12&lt;24</formula>
    </cfRule>
    <cfRule type="expression" dxfId="2280" priority="140">
      <formula>I12&gt;28</formula>
    </cfRule>
  </conditionalFormatting>
  <conditionalFormatting sqref="O13 M13">
    <cfRule type="expression" dxfId="2279" priority="7">
      <formula>M13&lt;20</formula>
    </cfRule>
    <cfRule type="expression" dxfId="2278" priority="8">
      <formula>M13&gt;30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M39"/>
  <sheetViews>
    <sheetView topLeftCell="A10" zoomScale="55" zoomScaleNormal="55" zoomScaleSheetLayoutView="40" workbookViewId="0">
      <selection activeCell="S28" sqref="S28:T28"/>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3388" t="s">
        <v>564</v>
      </c>
      <c r="B1" s="3388"/>
      <c r="C1" s="3388"/>
      <c r="D1" s="3388"/>
      <c r="E1" s="3388"/>
      <c r="F1" s="3388"/>
      <c r="G1" s="3388"/>
      <c r="H1" s="3388"/>
      <c r="I1" s="3388"/>
      <c r="J1" s="3388"/>
      <c r="K1" s="3388"/>
      <c r="L1" s="3388"/>
      <c r="M1" s="3388"/>
      <c r="N1" s="3388"/>
      <c r="O1" s="3388"/>
      <c r="P1" s="3388"/>
      <c r="Q1" s="3388"/>
      <c r="R1" s="3388"/>
      <c r="S1" s="1011"/>
      <c r="T1" s="1011"/>
      <c r="U1" s="1449" t="s">
        <v>1346</v>
      </c>
      <c r="W1" s="1446"/>
      <c r="X1" s="1446"/>
      <c r="Y1" s="1446"/>
      <c r="Z1" s="1446"/>
      <c r="AA1" s="1446"/>
      <c r="AB1" s="1446"/>
      <c r="AC1" s="1446"/>
      <c r="AD1" s="1446"/>
      <c r="AE1" s="1446"/>
      <c r="AF1" s="1446"/>
      <c r="AG1" s="1446"/>
      <c r="AH1" s="1446"/>
      <c r="AI1" s="1446"/>
      <c r="AJ1" s="1446"/>
      <c r="AK1" s="1446"/>
      <c r="AL1" s="1446"/>
      <c r="AM1" s="1451" t="s">
        <v>1347</v>
      </c>
    </row>
    <row r="2" spans="1:39" ht="43.5" customHeight="1">
      <c r="A2" s="3389" t="s">
        <v>218</v>
      </c>
      <c r="B2" s="3389"/>
      <c r="C2" s="3389"/>
      <c r="D2" s="3389"/>
      <c r="E2" s="3389"/>
      <c r="F2" s="3389"/>
      <c r="G2" s="3389"/>
      <c r="H2" s="3389"/>
      <c r="I2" s="3389"/>
      <c r="J2" s="3389"/>
      <c r="K2" s="3389"/>
      <c r="L2" s="3389"/>
      <c r="M2" s="3389"/>
      <c r="N2" s="3389"/>
      <c r="O2" s="3389"/>
      <c r="P2" s="3389"/>
      <c r="Q2" s="3389"/>
      <c r="R2" s="3390"/>
      <c r="S2" s="3130" t="s">
        <v>87</v>
      </c>
      <c r="T2" s="3131"/>
      <c r="U2" s="1443" t="s">
        <v>1341</v>
      </c>
      <c r="W2" s="1445"/>
      <c r="X2" s="1445"/>
      <c r="Y2" s="1445"/>
      <c r="Z2" s="1445"/>
      <c r="AA2" s="1445"/>
      <c r="AB2" s="1504"/>
      <c r="AC2" s="1504"/>
      <c r="AD2" s="1504"/>
      <c r="AE2" s="1504"/>
      <c r="AF2" s="1445"/>
      <c r="AG2" s="1445"/>
      <c r="AH2" s="1445"/>
      <c r="AI2" s="1445"/>
      <c r="AJ2" s="1445"/>
      <c r="AK2" s="1445"/>
      <c r="AL2" s="1445"/>
      <c r="AM2" s="1445"/>
    </row>
    <row r="3" spans="1:39" ht="27" customHeight="1">
      <c r="B3" s="1420" t="s">
        <v>214</v>
      </c>
      <c r="C3" s="1421"/>
      <c r="D3" s="2681" t="s">
        <v>1595</v>
      </c>
      <c r="E3" s="3401" t="str">
        <f>MENU!$AC$9</f>
        <v>Thứ 5,</v>
      </c>
      <c r="F3" s="3401"/>
      <c r="G3" s="3400" t="str">
        <f>MENU!$AD$9</f>
        <v>2024/08/01</v>
      </c>
      <c r="H3" s="3400"/>
      <c r="I3" s="3392"/>
      <c r="J3" s="3392"/>
      <c r="K3" s="3392"/>
      <c r="L3" s="3392"/>
      <c r="M3" s="1437"/>
      <c r="N3" s="1437"/>
      <c r="O3" s="1437"/>
      <c r="P3" s="1437"/>
      <c r="Q3" s="1437"/>
      <c r="R3" s="1437"/>
      <c r="S3" s="3132" t="str">
        <f>MENU!AE7</f>
        <v>Trang</v>
      </c>
      <c r="T3" s="3133"/>
      <c r="U3" s="1428"/>
      <c r="X3" s="1420" t="s">
        <v>214</v>
      </c>
      <c r="Y3" s="1421"/>
      <c r="Z3" s="1394"/>
      <c r="AA3" s="1812" t="str">
        <f>MENU!$AC$9</f>
        <v>Thứ 5,</v>
      </c>
      <c r="AB3" s="3400" t="str">
        <f>MENU!$AD$9</f>
        <v>2024/08/01</v>
      </c>
      <c r="AC3" s="3400"/>
      <c r="AD3" s="1448"/>
      <c r="AE3" s="1448"/>
      <c r="AF3" s="1448"/>
      <c r="AG3" s="1448"/>
      <c r="AH3" s="1448"/>
      <c r="AI3" s="1448"/>
      <c r="AJ3" s="1448"/>
      <c r="AK3" s="1448"/>
      <c r="AL3" s="1448"/>
      <c r="AM3" s="1393"/>
    </row>
    <row r="4" spans="1:39" s="16" customFormat="1" ht="30.75" customHeight="1">
      <c r="A4" s="3376" t="s">
        <v>7</v>
      </c>
      <c r="B4" s="3143" t="s">
        <v>75</v>
      </c>
      <c r="C4" s="3144"/>
      <c r="D4" s="3144"/>
      <c r="E4" s="3145"/>
      <c r="F4" s="3395" t="s">
        <v>123</v>
      </c>
      <c r="G4" s="3180" t="s">
        <v>1296</v>
      </c>
      <c r="H4" s="3185" t="s">
        <v>1289</v>
      </c>
      <c r="I4" s="3201">
        <v>0.80208333333333337</v>
      </c>
      <c r="J4" s="3199"/>
      <c r="K4" s="3199"/>
      <c r="L4" s="3200"/>
      <c r="M4" s="3198">
        <v>0.96875</v>
      </c>
      <c r="N4" s="3199"/>
      <c r="O4" s="3199"/>
      <c r="P4" s="3200"/>
      <c r="Q4" s="3198">
        <v>0.13541666666666666</v>
      </c>
      <c r="R4" s="3199"/>
      <c r="S4" s="3199"/>
      <c r="T4" s="3200"/>
      <c r="U4" s="1431" t="s">
        <v>89</v>
      </c>
      <c r="W4" s="3376" t="s">
        <v>7</v>
      </c>
      <c r="X4" s="3143" t="s">
        <v>75</v>
      </c>
      <c r="Y4" s="3144"/>
      <c r="Z4" s="3144"/>
      <c r="AA4" s="3145"/>
      <c r="AB4" s="3198">
        <v>0.80208333333333337</v>
      </c>
      <c r="AC4" s="3201"/>
      <c r="AD4" s="3201"/>
      <c r="AE4" s="3365"/>
      <c r="AF4" s="3198">
        <v>0.96875</v>
      </c>
      <c r="AG4" s="3201"/>
      <c r="AH4" s="3201"/>
      <c r="AI4" s="3365"/>
      <c r="AJ4" s="3198">
        <v>0.13541666666666666</v>
      </c>
      <c r="AK4" s="3201"/>
      <c r="AL4" s="3201"/>
      <c r="AM4" s="3365"/>
    </row>
    <row r="5" spans="1:39" s="16" customFormat="1" ht="30.75" customHeight="1">
      <c r="A5" s="3377"/>
      <c r="B5" s="3146"/>
      <c r="C5" s="3147"/>
      <c r="D5" s="3147"/>
      <c r="E5" s="3148"/>
      <c r="F5" s="3396"/>
      <c r="G5" s="3181"/>
      <c r="H5" s="3186"/>
      <c r="I5" s="2220" t="s">
        <v>128</v>
      </c>
      <c r="J5" s="3170" t="s">
        <v>1</v>
      </c>
      <c r="K5" s="3171"/>
      <c r="L5" s="3172"/>
      <c r="M5" s="52" t="s">
        <v>128</v>
      </c>
      <c r="N5" s="3170" t="s">
        <v>1</v>
      </c>
      <c r="O5" s="3171"/>
      <c r="P5" s="3172"/>
      <c r="Q5" s="52" t="s">
        <v>128</v>
      </c>
      <c r="R5" s="3170" t="s">
        <v>1</v>
      </c>
      <c r="S5" s="3171"/>
      <c r="T5" s="3172"/>
      <c r="U5" s="4" t="s">
        <v>90</v>
      </c>
      <c r="W5" s="3377"/>
      <c r="X5" s="3146"/>
      <c r="Y5" s="3147"/>
      <c r="Z5" s="3147"/>
      <c r="AA5" s="3148"/>
      <c r="AB5" s="3256" t="s">
        <v>1433</v>
      </c>
      <c r="AC5" s="3368"/>
      <c r="AD5" s="3367" t="s">
        <v>1466</v>
      </c>
      <c r="AE5" s="3200"/>
      <c r="AF5" s="3256" t="s">
        <v>1433</v>
      </c>
      <c r="AG5" s="3368"/>
      <c r="AH5" s="3367" t="s">
        <v>1466</v>
      </c>
      <c r="AI5" s="3200"/>
      <c r="AJ5" s="3256" t="s">
        <v>1433</v>
      </c>
      <c r="AK5" s="3368"/>
      <c r="AL5" s="3367" t="s">
        <v>1466</v>
      </c>
      <c r="AM5" s="3200"/>
    </row>
    <row r="6" spans="1:39" ht="32.25" customHeight="1">
      <c r="A6" s="3376">
        <v>1</v>
      </c>
      <c r="B6" s="3143" t="s">
        <v>130</v>
      </c>
      <c r="C6" s="3379"/>
      <c r="D6" s="3384" t="s">
        <v>99</v>
      </c>
      <c r="E6" s="3385"/>
      <c r="F6" s="1427" t="s">
        <v>4</v>
      </c>
      <c r="G6" s="897" t="str">
        <f>'XM.GUI MAIL'!$E$6</f>
        <v>20~40</v>
      </c>
      <c r="H6" s="2202" t="str">
        <f>'XM.GUI MAIL'!$F$6</f>
        <v>(30±5)</v>
      </c>
      <c r="I6" s="2190">
        <f>'XM.GUI MAIL'!AD6</f>
        <v>33.6</v>
      </c>
      <c r="J6" s="1404" t="s">
        <v>8</v>
      </c>
      <c r="K6" s="1405">
        <f>'XM.GUI MAIL'!AG6</f>
        <v>0</v>
      </c>
      <c r="L6" s="1406" t="s">
        <v>9</v>
      </c>
      <c r="M6" s="1423">
        <f>'XM.GUI MAIL'!AK6</f>
        <v>32</v>
      </c>
      <c r="N6" s="1404" t="s">
        <v>8</v>
      </c>
      <c r="O6" s="1405">
        <f>'XM.GUI MAIL'!AN6</f>
        <v>0</v>
      </c>
      <c r="P6" s="1406" t="s">
        <v>9</v>
      </c>
      <c r="Q6" s="1423">
        <f>'XM.GUI MAIL'!AR6</f>
        <v>32.799999999999997</v>
      </c>
      <c r="R6" s="1404" t="s">
        <v>8</v>
      </c>
      <c r="S6" s="1405">
        <f>'XM.GUI MAIL'!AU6</f>
        <v>0</v>
      </c>
      <c r="T6" s="1406" t="s">
        <v>9</v>
      </c>
      <c r="U6" s="102" t="s">
        <v>39</v>
      </c>
      <c r="W6" s="3376">
        <v>1</v>
      </c>
      <c r="X6" s="3143" t="s">
        <v>130</v>
      </c>
      <c r="Y6" s="3379"/>
      <c r="Z6" s="3384" t="s">
        <v>99</v>
      </c>
      <c r="AA6" s="3385"/>
      <c r="AB6" s="2018"/>
      <c r="AC6" s="1741" t="s">
        <v>9</v>
      </c>
      <c r="AD6" s="1791"/>
      <c r="AE6" s="1792" t="s">
        <v>4</v>
      </c>
      <c r="AF6" s="2018"/>
      <c r="AG6" s="1741" t="s">
        <v>9</v>
      </c>
      <c r="AH6" s="1791"/>
      <c r="AI6" s="1792" t="s">
        <v>4</v>
      </c>
      <c r="AJ6" s="2018"/>
      <c r="AK6" s="1741" t="s">
        <v>9</v>
      </c>
      <c r="AL6" s="1791"/>
      <c r="AM6" s="1792" t="s">
        <v>4</v>
      </c>
    </row>
    <row r="7" spans="1:39" ht="32.25" customHeight="1">
      <c r="A7" s="3378"/>
      <c r="B7" s="3380"/>
      <c r="C7" s="3381"/>
      <c r="D7" s="3256" t="s">
        <v>100</v>
      </c>
      <c r="E7" s="3257"/>
      <c r="F7" s="1427" t="s">
        <v>54</v>
      </c>
      <c r="G7" s="897" t="s">
        <v>101</v>
      </c>
      <c r="H7" s="2202"/>
      <c r="I7" s="2191"/>
      <c r="J7" s="1055" t="s">
        <v>8</v>
      </c>
      <c r="K7" s="57">
        <f>K6/25*840/1000</f>
        <v>0</v>
      </c>
      <c r="L7" s="56" t="s">
        <v>10</v>
      </c>
      <c r="M7" s="1676"/>
      <c r="N7" s="1055" t="s">
        <v>8</v>
      </c>
      <c r="O7" s="57">
        <f>O6/25*840/1000</f>
        <v>0</v>
      </c>
      <c r="P7" s="56" t="s">
        <v>10</v>
      </c>
      <c r="Q7" s="1676"/>
      <c r="R7" s="1055" t="s">
        <v>8</v>
      </c>
      <c r="S7" s="57">
        <f>S6/25*840/1000</f>
        <v>0</v>
      </c>
      <c r="T7" s="56" t="s">
        <v>10</v>
      </c>
      <c r="U7" s="102"/>
      <c r="W7" s="3378"/>
      <c r="X7" s="3380"/>
      <c r="Y7" s="3381"/>
      <c r="Z7" s="3256" t="s">
        <v>100</v>
      </c>
      <c r="AA7" s="3257"/>
      <c r="AB7" s="2018"/>
      <c r="AC7" s="1741" t="s">
        <v>10</v>
      </c>
      <c r="AD7" s="1791"/>
      <c r="AE7" s="1759"/>
      <c r="AF7" s="2018"/>
      <c r="AG7" s="1741" t="s">
        <v>10</v>
      </c>
      <c r="AH7" s="1791"/>
      <c r="AI7" s="1759"/>
      <c r="AJ7" s="2018"/>
      <c r="AK7" s="1741" t="s">
        <v>10</v>
      </c>
      <c r="AL7" s="1791"/>
      <c r="AM7" s="1759"/>
    </row>
    <row r="8" spans="1:39" ht="32.25" customHeight="1">
      <c r="A8" s="3377"/>
      <c r="B8" s="3382"/>
      <c r="C8" s="3383"/>
      <c r="D8" s="3256" t="s">
        <v>102</v>
      </c>
      <c r="E8" s="3257"/>
      <c r="F8" s="1427" t="s">
        <v>54</v>
      </c>
      <c r="G8" s="897" t="s">
        <v>101</v>
      </c>
      <c r="H8" s="2202"/>
      <c r="I8" s="2191"/>
      <c r="J8" s="1055" t="s">
        <v>8</v>
      </c>
      <c r="K8" s="57">
        <f>K7*10</f>
        <v>0</v>
      </c>
      <c r="L8" s="56" t="s">
        <v>10</v>
      </c>
      <c r="M8" s="1676"/>
      <c r="N8" s="1055" t="s">
        <v>8</v>
      </c>
      <c r="O8" s="57">
        <f>O7*10</f>
        <v>0</v>
      </c>
      <c r="P8" s="56" t="s">
        <v>10</v>
      </c>
      <c r="Q8" s="1676"/>
      <c r="R8" s="1055" t="s">
        <v>8</v>
      </c>
      <c r="S8" s="57">
        <f>S7*10</f>
        <v>0</v>
      </c>
      <c r="T8" s="56" t="s">
        <v>10</v>
      </c>
      <c r="U8" s="102"/>
      <c r="W8" s="3377"/>
      <c r="X8" s="3382"/>
      <c r="Y8" s="3383"/>
      <c r="Z8" s="3256" t="s">
        <v>102</v>
      </c>
      <c r="AA8" s="3257"/>
      <c r="AB8" s="2018"/>
      <c r="AC8" s="1741" t="s">
        <v>10</v>
      </c>
      <c r="AD8" s="1791"/>
      <c r="AE8" s="1759"/>
      <c r="AF8" s="2018"/>
      <c r="AG8" s="1741" t="s">
        <v>10</v>
      </c>
      <c r="AH8" s="1791"/>
      <c r="AI8" s="1759"/>
      <c r="AJ8" s="2018"/>
      <c r="AK8" s="1741" t="s">
        <v>10</v>
      </c>
      <c r="AL8" s="1791"/>
      <c r="AM8" s="1759"/>
    </row>
    <row r="9" spans="1:39" ht="32.25" customHeight="1">
      <c r="A9" s="3376">
        <v>2</v>
      </c>
      <c r="B9" s="3143" t="s">
        <v>131</v>
      </c>
      <c r="C9" s="3379"/>
      <c r="D9" s="3384" t="s">
        <v>99</v>
      </c>
      <c r="E9" s="3385"/>
      <c r="F9" s="1427" t="s">
        <v>4</v>
      </c>
      <c r="G9" s="897" t="str">
        <f>'XM.GUI MAIL'!$E$9</f>
        <v>20~40</v>
      </c>
      <c r="H9" s="2202" t="str">
        <f>'XM.GUI MAIL'!$F$9</f>
        <v>(30±5)</v>
      </c>
      <c r="I9" s="2190">
        <f>'XM.GUI MAIL'!AD9</f>
        <v>31.2</v>
      </c>
      <c r="J9" s="1404" t="s">
        <v>8</v>
      </c>
      <c r="K9" s="1405">
        <f>'XM.GUI MAIL'!AG9</f>
        <v>0</v>
      </c>
      <c r="L9" s="1406" t="s">
        <v>9</v>
      </c>
      <c r="M9" s="1423">
        <f>'XM.GUI MAIL'!AK9</f>
        <v>32</v>
      </c>
      <c r="N9" s="1404" t="s">
        <v>8</v>
      </c>
      <c r="O9" s="1405">
        <f>'XM.GUI MAIL'!AN9</f>
        <v>0</v>
      </c>
      <c r="P9" s="1406" t="s">
        <v>9</v>
      </c>
      <c r="Q9" s="1423">
        <f>'XM.GUI MAIL'!AR9</f>
        <v>32</v>
      </c>
      <c r="R9" s="1404" t="s">
        <v>8</v>
      </c>
      <c r="S9" s="1405">
        <f>'XM.GUI MAIL'!AU9</f>
        <v>0</v>
      </c>
      <c r="T9" s="1406" t="s">
        <v>9</v>
      </c>
      <c r="U9" s="102" t="s">
        <v>39</v>
      </c>
      <c r="W9" s="3376">
        <v>2</v>
      </c>
      <c r="X9" s="3143" t="s">
        <v>131</v>
      </c>
      <c r="Y9" s="3379"/>
      <c r="Z9" s="3384" t="s">
        <v>99</v>
      </c>
      <c r="AA9" s="3385"/>
      <c r="AB9" s="2018"/>
      <c r="AC9" s="1741" t="s">
        <v>9</v>
      </c>
      <c r="AD9" s="1791"/>
      <c r="AE9" s="1792" t="s">
        <v>4</v>
      </c>
      <c r="AF9" s="2018"/>
      <c r="AG9" s="1741" t="s">
        <v>9</v>
      </c>
      <c r="AH9" s="1791"/>
      <c r="AI9" s="1792" t="s">
        <v>4</v>
      </c>
      <c r="AJ9" s="2018"/>
      <c r="AK9" s="1741" t="s">
        <v>9</v>
      </c>
      <c r="AL9" s="1791"/>
      <c r="AM9" s="1792" t="s">
        <v>4</v>
      </c>
    </row>
    <row r="10" spans="1:39" ht="32.25" customHeight="1">
      <c r="A10" s="3378"/>
      <c r="B10" s="3380"/>
      <c r="C10" s="3381"/>
      <c r="D10" s="3256" t="s">
        <v>100</v>
      </c>
      <c r="E10" s="3257"/>
      <c r="F10" s="1427" t="s">
        <v>54</v>
      </c>
      <c r="G10" s="897" t="s">
        <v>101</v>
      </c>
      <c r="H10" s="2202"/>
      <c r="I10" s="2191"/>
      <c r="J10" s="1055" t="s">
        <v>8</v>
      </c>
      <c r="K10" s="57">
        <f>K9/25*840/1000</f>
        <v>0</v>
      </c>
      <c r="L10" s="56" t="s">
        <v>10</v>
      </c>
      <c r="M10" s="1676"/>
      <c r="N10" s="1055" t="s">
        <v>8</v>
      </c>
      <c r="O10" s="57">
        <f>O9/25*840/1000</f>
        <v>0</v>
      </c>
      <c r="P10" s="56" t="s">
        <v>10</v>
      </c>
      <c r="Q10" s="1676"/>
      <c r="R10" s="1055" t="s">
        <v>8</v>
      </c>
      <c r="S10" s="57">
        <f>S9/25*840/1000</f>
        <v>0</v>
      </c>
      <c r="T10" s="56" t="s">
        <v>10</v>
      </c>
      <c r="U10" s="102"/>
      <c r="W10" s="3378"/>
      <c r="X10" s="3380"/>
      <c r="Y10" s="3381"/>
      <c r="Z10" s="3256" t="s">
        <v>100</v>
      </c>
      <c r="AA10" s="3257"/>
      <c r="AB10" s="2018"/>
      <c r="AC10" s="1741" t="s">
        <v>10</v>
      </c>
      <c r="AD10" s="1791"/>
      <c r="AE10" s="1759"/>
      <c r="AF10" s="2018"/>
      <c r="AG10" s="1741" t="s">
        <v>10</v>
      </c>
      <c r="AH10" s="1791"/>
      <c r="AI10" s="1759"/>
      <c r="AJ10" s="2018"/>
      <c r="AK10" s="1741" t="s">
        <v>10</v>
      </c>
      <c r="AL10" s="1791"/>
      <c r="AM10" s="1759"/>
    </row>
    <row r="11" spans="1:39" ht="32.25" customHeight="1">
      <c r="A11" s="3377"/>
      <c r="B11" s="3382"/>
      <c r="C11" s="3383"/>
      <c r="D11" s="3256" t="s">
        <v>102</v>
      </c>
      <c r="E11" s="3257"/>
      <c r="F11" s="1427" t="s">
        <v>54</v>
      </c>
      <c r="G11" s="897" t="s">
        <v>101</v>
      </c>
      <c r="H11" s="2202"/>
      <c r="I11" s="2191"/>
      <c r="J11" s="1055" t="s">
        <v>8</v>
      </c>
      <c r="K11" s="57">
        <f>K10*10</f>
        <v>0</v>
      </c>
      <c r="L11" s="56" t="s">
        <v>10</v>
      </c>
      <c r="M11" s="1676"/>
      <c r="N11" s="1055" t="s">
        <v>8</v>
      </c>
      <c r="O11" s="57">
        <f>O10*10</f>
        <v>0</v>
      </c>
      <c r="P11" s="56" t="s">
        <v>10</v>
      </c>
      <c r="Q11" s="1676"/>
      <c r="R11" s="1055" t="s">
        <v>8</v>
      </c>
      <c r="S11" s="57">
        <f>S10*10</f>
        <v>0</v>
      </c>
      <c r="T11" s="56" t="s">
        <v>10</v>
      </c>
      <c r="U11" s="102"/>
      <c r="W11" s="3377"/>
      <c r="X11" s="3382"/>
      <c r="Y11" s="3383"/>
      <c r="Z11" s="3256" t="s">
        <v>102</v>
      </c>
      <c r="AA11" s="3257"/>
      <c r="AB11" s="2018"/>
      <c r="AC11" s="1741" t="s">
        <v>10</v>
      </c>
      <c r="AD11" s="1791"/>
      <c r="AE11" s="1759"/>
      <c r="AF11" s="2018"/>
      <c r="AG11" s="1741" t="s">
        <v>10</v>
      </c>
      <c r="AH11" s="1791"/>
      <c r="AI11" s="1759"/>
      <c r="AJ11" s="2018"/>
      <c r="AK11" s="1741" t="s">
        <v>10</v>
      </c>
      <c r="AL11" s="1791"/>
      <c r="AM11" s="1759"/>
    </row>
    <row r="12" spans="1:39" ht="32.25" customHeight="1">
      <c r="A12" s="3376">
        <v>3</v>
      </c>
      <c r="B12" s="3386" t="s">
        <v>132</v>
      </c>
      <c r="C12" s="3387"/>
      <c r="D12" s="3384" t="s">
        <v>99</v>
      </c>
      <c r="E12" s="3385"/>
      <c r="F12" s="1427" t="s">
        <v>4</v>
      </c>
      <c r="G12" s="897" t="str">
        <f>'XM.GUI MAIL'!$E$12</f>
        <v>60~80</v>
      </c>
      <c r="H12" s="2202" t="str">
        <f>'XM.GUI MAIL'!$F$12</f>
        <v>(70±10)</v>
      </c>
      <c r="I12" s="2192">
        <f>'XM.GUI MAIL'!AD12</f>
        <v>75.2</v>
      </c>
      <c r="J12" s="1404" t="s">
        <v>8</v>
      </c>
      <c r="K12" s="1405">
        <f>'XM.GUI MAIL'!AG12</f>
        <v>0</v>
      </c>
      <c r="L12" s="1406" t="s">
        <v>9</v>
      </c>
      <c r="M12" s="1401">
        <f>'XM.GUI MAIL'!AK12</f>
        <v>79.2</v>
      </c>
      <c r="N12" s="1404" t="s">
        <v>8</v>
      </c>
      <c r="O12" s="1405">
        <f>'XM.GUI MAIL'!AN12</f>
        <v>0</v>
      </c>
      <c r="P12" s="1406" t="s">
        <v>9</v>
      </c>
      <c r="Q12" s="1401">
        <f>'XM.GUI MAIL'!AR12</f>
        <v>78.8</v>
      </c>
      <c r="R12" s="1404" t="s">
        <v>8</v>
      </c>
      <c r="S12" s="1405">
        <f>'XM.GUI MAIL'!AU12</f>
        <v>0</v>
      </c>
      <c r="T12" s="1406" t="s">
        <v>9</v>
      </c>
      <c r="U12" s="102" t="s">
        <v>39</v>
      </c>
      <c r="W12" s="3376">
        <v>3</v>
      </c>
      <c r="X12" s="3386" t="s">
        <v>132</v>
      </c>
      <c r="Y12" s="3387"/>
      <c r="Z12" s="3384" t="s">
        <v>99</v>
      </c>
      <c r="AA12" s="3385"/>
      <c r="AB12" s="2018"/>
      <c r="AC12" s="1741" t="s">
        <v>9</v>
      </c>
      <c r="AD12" s="1791"/>
      <c r="AE12" s="1792" t="s">
        <v>4</v>
      </c>
      <c r="AF12" s="2018"/>
      <c r="AG12" s="1741" t="s">
        <v>9</v>
      </c>
      <c r="AH12" s="1791"/>
      <c r="AI12" s="1792" t="s">
        <v>4</v>
      </c>
      <c r="AJ12" s="2018"/>
      <c r="AK12" s="1741" t="s">
        <v>9</v>
      </c>
      <c r="AL12" s="1791"/>
      <c r="AM12" s="1792" t="s">
        <v>4</v>
      </c>
    </row>
    <row r="13" spans="1:39" ht="32.25" customHeight="1">
      <c r="A13" s="3377"/>
      <c r="B13" s="3387"/>
      <c r="C13" s="3387"/>
      <c r="D13" s="3256" t="s">
        <v>103</v>
      </c>
      <c r="E13" s="3257"/>
      <c r="F13" s="1427" t="s">
        <v>54</v>
      </c>
      <c r="G13" s="897" t="s">
        <v>101</v>
      </c>
      <c r="H13" s="2202"/>
      <c r="I13" s="2193"/>
      <c r="J13" s="1055" t="s">
        <v>8</v>
      </c>
      <c r="K13" s="57">
        <f>K12/25*7.5</f>
        <v>0</v>
      </c>
      <c r="L13" s="56" t="s">
        <v>10</v>
      </c>
      <c r="M13" s="1673"/>
      <c r="N13" s="1055" t="s">
        <v>8</v>
      </c>
      <c r="O13" s="57">
        <f>O12/25*7.5</f>
        <v>0</v>
      </c>
      <c r="P13" s="56" t="s">
        <v>10</v>
      </c>
      <c r="Q13" s="1673"/>
      <c r="R13" s="1055" t="s">
        <v>8</v>
      </c>
      <c r="S13" s="57">
        <f>S12/25*7.5</f>
        <v>0</v>
      </c>
      <c r="T13" s="56" t="s">
        <v>10</v>
      </c>
      <c r="U13" s="102"/>
      <c r="W13" s="3377"/>
      <c r="X13" s="3387"/>
      <c r="Y13" s="3387"/>
      <c r="Z13" s="3256" t="s">
        <v>103</v>
      </c>
      <c r="AA13" s="3257"/>
      <c r="AB13" s="2018"/>
      <c r="AC13" s="1741" t="s">
        <v>10</v>
      </c>
      <c r="AD13" s="1791"/>
      <c r="AE13" s="1759"/>
      <c r="AF13" s="2018"/>
      <c r="AG13" s="1741" t="s">
        <v>10</v>
      </c>
      <c r="AH13" s="1791"/>
      <c r="AI13" s="1759"/>
      <c r="AJ13" s="2018"/>
      <c r="AK13" s="1741" t="s">
        <v>10</v>
      </c>
      <c r="AL13" s="1791"/>
      <c r="AM13" s="1759"/>
    </row>
    <row r="14" spans="1:39" ht="32.25" customHeight="1">
      <c r="A14" s="3376">
        <v>4</v>
      </c>
      <c r="B14" s="3386" t="s">
        <v>133</v>
      </c>
      <c r="C14" s="3387"/>
      <c r="D14" s="3384" t="s">
        <v>99</v>
      </c>
      <c r="E14" s="3385"/>
      <c r="F14" s="1427" t="s">
        <v>4</v>
      </c>
      <c r="G14" s="897" t="str">
        <f>'XM.GUI MAIL'!$E$14</f>
        <v>60~80</v>
      </c>
      <c r="H14" s="2202" t="str">
        <f>'XM.GUI MAIL'!$F$14</f>
        <v>(70±10)</v>
      </c>
      <c r="I14" s="2192">
        <f>'XM.GUI MAIL'!AD14</f>
        <v>69.2</v>
      </c>
      <c r="J14" s="1404" t="s">
        <v>8</v>
      </c>
      <c r="K14" s="1405">
        <f>'XM.GUI MAIL'!AG14</f>
        <v>1.167199999999996</v>
      </c>
      <c r="L14" s="1406" t="s">
        <v>9</v>
      </c>
      <c r="M14" s="1401">
        <f>'XM.GUI MAIL'!AK14</f>
        <v>68</v>
      </c>
      <c r="N14" s="1404" t="s">
        <v>8</v>
      </c>
      <c r="O14" s="1405">
        <f>'XM.GUI MAIL'!AN14</f>
        <v>2.9180000000000001</v>
      </c>
      <c r="P14" s="1406" t="s">
        <v>9</v>
      </c>
      <c r="Q14" s="1401">
        <f>'XM.GUI MAIL'!AR14</f>
        <v>68</v>
      </c>
      <c r="R14" s="1404" t="s">
        <v>8</v>
      </c>
      <c r="S14" s="1405">
        <f>'XM.GUI MAIL'!AU14</f>
        <v>2.9180000000000001</v>
      </c>
      <c r="T14" s="1406" t="s">
        <v>9</v>
      </c>
      <c r="U14" s="102" t="s">
        <v>39</v>
      </c>
      <c r="W14" s="3376">
        <v>4</v>
      </c>
      <c r="X14" s="3386" t="s">
        <v>133</v>
      </c>
      <c r="Y14" s="3387"/>
      <c r="Z14" s="3384" t="s">
        <v>99</v>
      </c>
      <c r="AA14" s="3385"/>
      <c r="AB14" s="2018" t="s">
        <v>1688</v>
      </c>
      <c r="AC14" s="1741" t="s">
        <v>9</v>
      </c>
      <c r="AD14" s="1791">
        <v>70.099999999999994</v>
      </c>
      <c r="AE14" s="1792" t="s">
        <v>4</v>
      </c>
      <c r="AF14" s="2018"/>
      <c r="AG14" s="1741" t="s">
        <v>9</v>
      </c>
      <c r="AH14" s="1791"/>
      <c r="AI14" s="1792" t="s">
        <v>4</v>
      </c>
      <c r="AJ14" s="2018"/>
      <c r="AK14" s="1741" t="s">
        <v>9</v>
      </c>
      <c r="AL14" s="1791"/>
      <c r="AM14" s="1792" t="s">
        <v>4</v>
      </c>
    </row>
    <row r="15" spans="1:39" ht="32.25" customHeight="1">
      <c r="A15" s="3377"/>
      <c r="B15" s="3387"/>
      <c r="C15" s="3387"/>
      <c r="D15" s="3256" t="s">
        <v>103</v>
      </c>
      <c r="E15" s="3257"/>
      <c r="F15" s="1427" t="s">
        <v>54</v>
      </c>
      <c r="G15" s="897" t="s">
        <v>101</v>
      </c>
      <c r="H15" s="2202"/>
      <c r="I15" s="2191"/>
      <c r="J15" s="1055" t="s">
        <v>8</v>
      </c>
      <c r="K15" s="57">
        <f>K14/25*7.5</f>
        <v>0.35015999999999881</v>
      </c>
      <c r="L15" s="56" t="s">
        <v>10</v>
      </c>
      <c r="M15" s="1676"/>
      <c r="N15" s="1055" t="s">
        <v>8</v>
      </c>
      <c r="O15" s="57">
        <f>O14/25*7.5</f>
        <v>0.87540000000000007</v>
      </c>
      <c r="P15" s="56" t="s">
        <v>10</v>
      </c>
      <c r="Q15" s="1676"/>
      <c r="R15" s="1055" t="s">
        <v>8</v>
      </c>
      <c r="S15" s="57">
        <f>S14/25*7.5</f>
        <v>0.87540000000000007</v>
      </c>
      <c r="T15" s="56" t="s">
        <v>10</v>
      </c>
      <c r="U15" s="102"/>
      <c r="W15" s="3377"/>
      <c r="X15" s="3387"/>
      <c r="Y15" s="3387"/>
      <c r="Z15" s="3256" t="s">
        <v>103</v>
      </c>
      <c r="AA15" s="3257"/>
      <c r="AB15" s="2018"/>
      <c r="AC15" s="1741" t="s">
        <v>10</v>
      </c>
      <c r="AD15" s="1791"/>
      <c r="AE15" s="1759"/>
      <c r="AF15" s="2018"/>
      <c r="AG15" s="1741" t="s">
        <v>10</v>
      </c>
      <c r="AH15" s="1791"/>
      <c r="AI15" s="1759"/>
      <c r="AJ15" s="2018"/>
      <c r="AK15" s="1741" t="s">
        <v>10</v>
      </c>
      <c r="AL15" s="1791"/>
      <c r="AM15" s="1759"/>
    </row>
    <row r="16" spans="1:39" ht="32.25" customHeight="1">
      <c r="A16" s="3376">
        <v>5</v>
      </c>
      <c r="B16" s="3256" t="s">
        <v>78</v>
      </c>
      <c r="C16" s="3369"/>
      <c r="D16" s="3369"/>
      <c r="E16" s="3257"/>
      <c r="F16" s="1427" t="s">
        <v>4</v>
      </c>
      <c r="G16" s="1005" t="str">
        <f>'XM.GUI MAIL'!$E$16</f>
        <v>130 - 150</v>
      </c>
      <c r="H16" s="2206" t="str">
        <f>'XM.GUI MAIL'!$F$16</f>
        <v>(140±7)</v>
      </c>
      <c r="I16" s="2194">
        <f>'XM.GUI MAIL'!AD16</f>
        <v>143.19999999999999</v>
      </c>
      <c r="J16" s="1404" t="s">
        <v>8</v>
      </c>
      <c r="K16" s="1500">
        <f>'XM.GUI MAIL'!AG16</f>
        <v>0</v>
      </c>
      <c r="L16" s="1057" t="s">
        <v>9</v>
      </c>
      <c r="M16" s="1755">
        <f>'XM.GUI MAIL'!AK16</f>
        <v>142.4</v>
      </c>
      <c r="N16" s="1404" t="s">
        <v>8</v>
      </c>
      <c r="O16" s="1500">
        <f>'XM.GUI MAIL'!AN16</f>
        <v>0</v>
      </c>
      <c r="P16" s="1057" t="s">
        <v>9</v>
      </c>
      <c r="Q16" s="1755">
        <f>'XM.GUI MAIL'!AR16</f>
        <v>142.4</v>
      </c>
      <c r="R16" s="1404" t="s">
        <v>8</v>
      </c>
      <c r="S16" s="1405">
        <f>'XM.GUI MAIL'!AU16</f>
        <v>0</v>
      </c>
      <c r="T16" s="1057" t="s">
        <v>9</v>
      </c>
      <c r="U16" s="102" t="s">
        <v>40</v>
      </c>
      <c r="W16" s="3376">
        <v>5</v>
      </c>
      <c r="X16" s="3256" t="s">
        <v>78</v>
      </c>
      <c r="Y16" s="3369"/>
      <c r="Z16" s="3369"/>
      <c r="AA16" s="3257"/>
      <c r="AB16" s="2018"/>
      <c r="AC16" s="1741" t="s">
        <v>9</v>
      </c>
      <c r="AD16" s="1791"/>
      <c r="AE16" s="1793" t="s">
        <v>4</v>
      </c>
      <c r="AF16" s="2018"/>
      <c r="AG16" s="1741" t="s">
        <v>9</v>
      </c>
      <c r="AH16" s="1791"/>
      <c r="AI16" s="1793" t="s">
        <v>4</v>
      </c>
      <c r="AJ16" s="2018"/>
      <c r="AK16" s="1741" t="s">
        <v>9</v>
      </c>
      <c r="AL16" s="1791"/>
      <c r="AM16" s="1793" t="s">
        <v>4</v>
      </c>
    </row>
    <row r="17" spans="1:39" ht="32.25" customHeight="1">
      <c r="A17" s="3377"/>
      <c r="B17" s="3256" t="s">
        <v>56</v>
      </c>
      <c r="C17" s="3369"/>
      <c r="D17" s="3369"/>
      <c r="E17" s="3257"/>
      <c r="F17" s="1427" t="s">
        <v>4</v>
      </c>
      <c r="G17" s="1005" t="str">
        <f>'XM.GUI MAIL'!$E$17</f>
        <v>8~12</v>
      </c>
      <c r="H17" s="2206" t="str">
        <f>'XM.GUI MAIL'!$F$17</f>
        <v>(10±2)</v>
      </c>
      <c r="I17" s="2195">
        <f>'XM.GUI MAIL'!AD17</f>
        <v>11.440000000000001</v>
      </c>
      <c r="J17" s="1404" t="s">
        <v>8</v>
      </c>
      <c r="K17" s="1405">
        <f>'XM.GUI MAIL'!AG17</f>
        <v>0</v>
      </c>
      <c r="L17" s="1057" t="s">
        <v>9</v>
      </c>
      <c r="M17" s="1761">
        <f>'XM.GUI MAIL'!AK17</f>
        <v>10.790000000000001</v>
      </c>
      <c r="N17" s="1404" t="s">
        <v>8</v>
      </c>
      <c r="O17" s="1405">
        <f>'XM.GUI MAIL'!AN17</f>
        <v>0</v>
      </c>
      <c r="P17" s="1057" t="s">
        <v>9</v>
      </c>
      <c r="Q17" s="1761">
        <f>'XM.GUI MAIL'!AR17</f>
        <v>10.595000000000001</v>
      </c>
      <c r="R17" s="1404" t="s">
        <v>8</v>
      </c>
      <c r="S17" s="1405">
        <f>'XM.GUI MAIL'!AU17</f>
        <v>0</v>
      </c>
      <c r="T17" s="1057" t="s">
        <v>9</v>
      </c>
      <c r="U17" s="102" t="s">
        <v>41</v>
      </c>
      <c r="W17" s="3377"/>
      <c r="X17" s="3256" t="s">
        <v>56</v>
      </c>
      <c r="Y17" s="3369"/>
      <c r="Z17" s="3369"/>
      <c r="AA17" s="3257"/>
      <c r="AB17" s="2018"/>
      <c r="AC17" s="1741" t="s">
        <v>9</v>
      </c>
      <c r="AD17" s="1791"/>
      <c r="AE17" s="1793" t="s">
        <v>4</v>
      </c>
      <c r="AF17" s="2018"/>
      <c r="AG17" s="1741" t="s">
        <v>9</v>
      </c>
      <c r="AH17" s="1791"/>
      <c r="AI17" s="1793" t="s">
        <v>4</v>
      </c>
      <c r="AJ17" s="2018"/>
      <c r="AK17" s="1741" t="s">
        <v>9</v>
      </c>
      <c r="AL17" s="1791"/>
      <c r="AM17" s="1793" t="s">
        <v>4</v>
      </c>
    </row>
    <row r="18" spans="1:39" ht="32.25" customHeight="1">
      <c r="A18" s="3376">
        <v>6</v>
      </c>
      <c r="B18" s="3143" t="s">
        <v>973</v>
      </c>
      <c r="C18" s="3144"/>
      <c r="D18" s="3144"/>
      <c r="E18" s="3145"/>
      <c r="F18" s="1427" t="s">
        <v>3</v>
      </c>
      <c r="G18" s="1005" t="str">
        <f>'XM.GUI MAIL'!$E$18</f>
        <v xml:space="preserve">12~18 </v>
      </c>
      <c r="H18" s="2206" t="str">
        <f>'XM.GUI MAIL'!$F$18</f>
        <v>(14±2)</v>
      </c>
      <c r="I18" s="2196">
        <f>'XM.GUI MAIL'!AD18</f>
        <v>18.129496402877699</v>
      </c>
      <c r="J18" s="1055" t="s">
        <v>8</v>
      </c>
      <c r="K18" s="55">
        <f>'XM.GUI MAIL'!AG18</f>
        <v>0</v>
      </c>
      <c r="L18" s="56" t="s">
        <v>10</v>
      </c>
      <c r="M18" s="1731">
        <f>'XM.GUI MAIL'!AK18</f>
        <v>15.25179856115108</v>
      </c>
      <c r="N18" s="1055" t="s">
        <v>8</v>
      </c>
      <c r="O18" s="55">
        <f>'XM.GUI MAIL'!AN18</f>
        <v>0</v>
      </c>
      <c r="P18" s="56" t="s">
        <v>10</v>
      </c>
      <c r="Q18" s="1731">
        <f>'XM.GUI MAIL'!AR18</f>
        <v>14.676258992805753</v>
      </c>
      <c r="R18" s="1055" t="s">
        <v>8</v>
      </c>
      <c r="S18" s="55">
        <f>'XM.GUI MAIL'!AU18</f>
        <v>0</v>
      </c>
      <c r="T18" s="56" t="s">
        <v>10</v>
      </c>
      <c r="U18" s="102" t="s">
        <v>42</v>
      </c>
      <c r="W18" s="3376">
        <v>6</v>
      </c>
      <c r="X18" s="3143" t="s">
        <v>973</v>
      </c>
      <c r="Y18" s="3144"/>
      <c r="Z18" s="3144"/>
      <c r="AA18" s="3145"/>
      <c r="AB18" s="2018" t="s">
        <v>1689</v>
      </c>
      <c r="AC18" s="1741" t="s">
        <v>10</v>
      </c>
      <c r="AD18" s="1791">
        <v>15.8</v>
      </c>
      <c r="AE18" s="1759" t="s">
        <v>3</v>
      </c>
      <c r="AF18" s="2018"/>
      <c r="AG18" s="1741" t="s">
        <v>10</v>
      </c>
      <c r="AH18" s="1791"/>
      <c r="AI18" s="1759" t="s">
        <v>3</v>
      </c>
      <c r="AJ18" s="2018"/>
      <c r="AK18" s="1741" t="s">
        <v>10</v>
      </c>
      <c r="AL18" s="1791"/>
      <c r="AM18" s="1759" t="s">
        <v>3</v>
      </c>
    </row>
    <row r="19" spans="1:39" ht="32.25" customHeight="1">
      <c r="A19" s="3377"/>
      <c r="B19" s="3146"/>
      <c r="C19" s="3147"/>
      <c r="D19" s="3147"/>
      <c r="E19" s="3148"/>
      <c r="F19" s="1427" t="s">
        <v>5</v>
      </c>
      <c r="G19" s="1005" t="str">
        <f>'XM.GUI MAIL'!$E$19</f>
        <v>1.5~1.9</v>
      </c>
      <c r="H19" s="2206" t="str">
        <f>'XM.GUI MAIL'!$F$19</f>
        <v>(1.7±0.1 )</v>
      </c>
      <c r="I19" s="2176">
        <f>'XM.GUI MAIL'!AD19</f>
        <v>1.8</v>
      </c>
      <c r="J19" s="1055"/>
      <c r="K19" s="55">
        <f>'XM.GUI MAIL'!AG19</f>
        <v>0</v>
      </c>
      <c r="L19" s="2231"/>
      <c r="M19" s="2176">
        <f>'XM.GUI MAIL'!AK19</f>
        <v>1.8</v>
      </c>
      <c r="N19" s="1055"/>
      <c r="O19" s="55">
        <f>'XM.GUI MAIL'!AN19</f>
        <v>0</v>
      </c>
      <c r="P19" s="56"/>
      <c r="Q19" s="2176">
        <f>'XM.GUI MAIL'!AR19</f>
        <v>1.76</v>
      </c>
      <c r="R19" s="1407"/>
      <c r="S19" s="1405">
        <f>'XM.GUI MAIL'!AU19</f>
        <v>0</v>
      </c>
      <c r="T19" s="1408"/>
      <c r="U19" s="102"/>
      <c r="W19" s="3377"/>
      <c r="X19" s="3146"/>
      <c r="Y19" s="3147"/>
      <c r="Z19" s="3147"/>
      <c r="AA19" s="3148"/>
      <c r="AB19" s="2018"/>
      <c r="AC19" s="1741"/>
      <c r="AD19" s="1791"/>
      <c r="AE19" s="1794" t="s">
        <v>5</v>
      </c>
      <c r="AF19" s="2018"/>
      <c r="AG19" s="1741"/>
      <c r="AH19" s="1791"/>
      <c r="AI19" s="1794" t="s">
        <v>5</v>
      </c>
      <c r="AJ19" s="2018"/>
      <c r="AK19" s="1741"/>
      <c r="AL19" s="1791"/>
      <c r="AM19" s="1794" t="s">
        <v>5</v>
      </c>
    </row>
    <row r="20" spans="1:39" ht="32.25" customHeight="1">
      <c r="A20" s="102">
        <v>7</v>
      </c>
      <c r="B20" s="3256" t="s">
        <v>57</v>
      </c>
      <c r="C20" s="3369"/>
      <c r="D20" s="3369"/>
      <c r="E20" s="3257"/>
      <c r="F20" s="1436" t="s">
        <v>6</v>
      </c>
      <c r="G20" s="1005" t="str">
        <f>'XM.GUI MAIL'!$E$20</f>
        <v xml:space="preserve">40~50 </v>
      </c>
      <c r="H20" s="2206" t="str">
        <f>'XM.GUI MAIL'!$F$20</f>
        <v>(45±5)</v>
      </c>
      <c r="I20" s="2197">
        <f>'XM.GUI MAIL'!AD20</f>
        <v>0.49046874999999995</v>
      </c>
      <c r="J20" s="1404" t="s">
        <v>8</v>
      </c>
      <c r="K20" s="1405">
        <f>'XM.GUI MAIL'!AG20</f>
        <v>0</v>
      </c>
      <c r="L20" s="1406" t="s">
        <v>10</v>
      </c>
      <c r="M20" s="1736">
        <f>'XM.GUI MAIL'!AK20</f>
        <v>0.46765624999999994</v>
      </c>
      <c r="N20" s="1404" t="s">
        <v>8</v>
      </c>
      <c r="O20" s="1405">
        <f>'XM.GUI MAIL'!AN20</f>
        <v>0</v>
      </c>
      <c r="P20" s="1406" t="s">
        <v>10</v>
      </c>
      <c r="Q20" s="1736">
        <f>'XM.GUI MAIL'!AR20</f>
        <v>0.46195312499999991</v>
      </c>
      <c r="R20" s="1404" t="s">
        <v>8</v>
      </c>
      <c r="S20" s="1405">
        <f>'XM.GUI MAIL'!AU20</f>
        <v>0</v>
      </c>
      <c r="T20" s="1406" t="s">
        <v>10</v>
      </c>
      <c r="U20" s="102" t="s">
        <v>43</v>
      </c>
      <c r="W20" s="102">
        <v>7</v>
      </c>
      <c r="X20" s="3256" t="s">
        <v>57</v>
      </c>
      <c r="Y20" s="3369"/>
      <c r="Z20" s="3369"/>
      <c r="AA20" s="3257"/>
      <c r="AB20" s="2018"/>
      <c r="AC20" s="1796" t="s">
        <v>10</v>
      </c>
      <c r="AD20" s="1791"/>
      <c r="AE20" s="1792" t="s">
        <v>6</v>
      </c>
      <c r="AF20" s="2018"/>
      <c r="AG20" s="1796" t="s">
        <v>10</v>
      </c>
      <c r="AH20" s="1791"/>
      <c r="AI20" s="1792" t="s">
        <v>6</v>
      </c>
      <c r="AJ20" s="2018"/>
      <c r="AK20" s="1796" t="s">
        <v>10</v>
      </c>
      <c r="AL20" s="1791"/>
      <c r="AM20" s="1792" t="s">
        <v>6</v>
      </c>
    </row>
    <row r="21" spans="1:39" ht="32.25" hidden="1" customHeight="1">
      <c r="A21" s="102">
        <v>8</v>
      </c>
      <c r="B21" s="3256" t="s">
        <v>58</v>
      </c>
      <c r="C21" s="3369"/>
      <c r="D21" s="3369"/>
      <c r="E21" s="3257"/>
      <c r="F21" s="1436" t="s">
        <v>6</v>
      </c>
      <c r="G21" s="1005" t="str">
        <f>'XM.GUI MAIL'!$E$21</f>
        <v>(22±5) =17~27</v>
      </c>
      <c r="H21" s="2206" t="str">
        <f>'XM.GUI MAIL'!$F$21</f>
        <v>(22±5)</v>
      </c>
      <c r="I21" s="2198">
        <f>'XM.GUI MAIL'!AD21</f>
        <v>0</v>
      </c>
      <c r="J21" s="1055" t="s">
        <v>8</v>
      </c>
      <c r="K21" s="55">
        <f>'XM.GUI MAIL'!AG21</f>
        <v>0</v>
      </c>
      <c r="L21" s="56" t="s">
        <v>10</v>
      </c>
      <c r="M21" s="1765">
        <f>'XM.GUI MAIL'!AK21</f>
        <v>0</v>
      </c>
      <c r="N21" s="1055" t="s">
        <v>8</v>
      </c>
      <c r="O21" s="55">
        <f>'XM.GUI MAIL'!AN21</f>
        <v>0</v>
      </c>
      <c r="P21" s="56" t="s">
        <v>10</v>
      </c>
      <c r="Q21" s="1765">
        <f>'XM.GUI MAIL'!AR21</f>
        <v>0</v>
      </c>
      <c r="R21" s="1055" t="s">
        <v>8</v>
      </c>
      <c r="S21" s="55">
        <f>'XM.GUI MAIL'!AU21</f>
        <v>0</v>
      </c>
      <c r="T21" s="1406" t="s">
        <v>10</v>
      </c>
      <c r="U21" s="102" t="s">
        <v>43</v>
      </c>
      <c r="W21" s="102">
        <v>8</v>
      </c>
      <c r="X21" s="3256" t="s">
        <v>58</v>
      </c>
      <c r="Y21" s="3369"/>
      <c r="Z21" s="3369"/>
      <c r="AA21" s="3257"/>
      <c r="AB21" s="2018"/>
      <c r="AC21" s="1796" t="s">
        <v>10</v>
      </c>
      <c r="AD21" s="1791"/>
      <c r="AE21" s="1792" t="s">
        <v>6</v>
      </c>
      <c r="AF21" s="2018"/>
      <c r="AG21" s="1796" t="s">
        <v>10</v>
      </c>
      <c r="AH21" s="1791"/>
      <c r="AI21" s="1792" t="s">
        <v>6</v>
      </c>
      <c r="AJ21" s="2018"/>
      <c r="AK21" s="1796" t="s">
        <v>10</v>
      </c>
      <c r="AL21" s="1791"/>
      <c r="AM21" s="1792" t="s">
        <v>6</v>
      </c>
    </row>
    <row r="22" spans="1:39" ht="31.5" customHeight="1">
      <c r="A22" s="102">
        <v>9</v>
      </c>
      <c r="B22" s="3256" t="s">
        <v>107</v>
      </c>
      <c r="C22" s="3369"/>
      <c r="D22" s="3369"/>
      <c r="E22" s="3257"/>
      <c r="F22" s="1436" t="s">
        <v>6</v>
      </c>
      <c r="G22" s="1005" t="str">
        <f>'XM.GUI MAIL'!$E$22</f>
        <v>5~15</v>
      </c>
      <c r="H22" s="2206" t="str">
        <f>'XM.GUI MAIL'!$F$22</f>
        <v>(10±3)</v>
      </c>
      <c r="I22" s="2198">
        <f>'XM.GUI MAIL'!AD22</f>
        <v>0.17109374999999999</v>
      </c>
      <c r="J22" s="1404" t="s">
        <v>8</v>
      </c>
      <c r="K22" s="1405">
        <f>'XM.GUI MAIL'!AG22</f>
        <v>0</v>
      </c>
      <c r="L22" s="1406" t="s">
        <v>10</v>
      </c>
      <c r="M22" s="1765">
        <f>'XM.GUI MAIL'!AK22</f>
        <v>0.15284375</v>
      </c>
      <c r="N22" s="1404" t="s">
        <v>8</v>
      </c>
      <c r="O22" s="1405">
        <f>'XM.GUI MAIL'!AN22</f>
        <v>0</v>
      </c>
      <c r="P22" s="1406" t="s">
        <v>10</v>
      </c>
      <c r="Q22" s="1765">
        <f>'XM.GUI MAIL'!AR22</f>
        <v>0.1140625</v>
      </c>
      <c r="R22" s="1404" t="s">
        <v>8</v>
      </c>
      <c r="S22" s="1405">
        <f>'XM.GUI MAIL'!AU22</f>
        <v>0</v>
      </c>
      <c r="T22" s="1406" t="s">
        <v>10</v>
      </c>
      <c r="U22" s="102" t="s">
        <v>44</v>
      </c>
      <c r="W22" s="102">
        <v>9</v>
      </c>
      <c r="X22" s="3256" t="s">
        <v>107</v>
      </c>
      <c r="Y22" s="3369"/>
      <c r="Z22" s="3369"/>
      <c r="AA22" s="3257"/>
      <c r="AB22" s="2018"/>
      <c r="AC22" s="1796" t="s">
        <v>10</v>
      </c>
      <c r="AD22" s="1791"/>
      <c r="AE22" s="1792" t="s">
        <v>6</v>
      </c>
      <c r="AF22" s="2018"/>
      <c r="AG22" s="1796" t="s">
        <v>10</v>
      </c>
      <c r="AH22" s="1791"/>
      <c r="AI22" s="1792" t="s">
        <v>6</v>
      </c>
      <c r="AJ22" s="2018"/>
      <c r="AK22" s="1796" t="s">
        <v>10</v>
      </c>
      <c r="AL22" s="1791"/>
      <c r="AM22" s="1792" t="s">
        <v>6</v>
      </c>
    </row>
    <row r="23" spans="1:39" ht="32.25" customHeight="1">
      <c r="A23" s="102">
        <v>10</v>
      </c>
      <c r="B23" s="3256" t="s">
        <v>106</v>
      </c>
      <c r="C23" s="3369"/>
      <c r="D23" s="3369"/>
      <c r="E23" s="3257"/>
      <c r="F23" s="1436" t="s">
        <v>3</v>
      </c>
      <c r="G23" s="1005" t="str">
        <f>'XM.GUI MAIL'!$E$23</f>
        <v>0.5~1.0</v>
      </c>
      <c r="H23" s="2206" t="str">
        <f>'XM.GUI MAIL'!$F$23</f>
        <v>(0.7±0.1)</v>
      </c>
      <c r="I23" s="1767">
        <f>'XM.GUI MAIL'!AD23</f>
        <v>8.1899999999999994E-3</v>
      </c>
      <c r="J23" s="1404" t="s">
        <v>8</v>
      </c>
      <c r="K23" s="1409">
        <f>'XM.GUI MAIL'!AG23</f>
        <v>0</v>
      </c>
      <c r="L23" s="1406" t="s">
        <v>10</v>
      </c>
      <c r="M23" s="1767">
        <f>'XM.GUI MAIL'!AK23</f>
        <v>8.9459999999999991E-3</v>
      </c>
      <c r="N23" s="1404" t="s">
        <v>8</v>
      </c>
      <c r="O23" s="1409">
        <f>'XM.GUI MAIL'!AN23</f>
        <v>0</v>
      </c>
      <c r="P23" s="1406" t="s">
        <v>10</v>
      </c>
      <c r="Q23" s="1767">
        <f>'XM.GUI MAIL'!AR23</f>
        <v>7.5599999999999999E-3</v>
      </c>
      <c r="R23" s="1404" t="s">
        <v>8</v>
      </c>
      <c r="S23" s="1409">
        <f>'XM.GUI MAIL'!AU23</f>
        <v>0</v>
      </c>
      <c r="T23" s="1406" t="s">
        <v>10</v>
      </c>
      <c r="U23" s="102" t="s">
        <v>44</v>
      </c>
      <c r="W23" s="102">
        <v>10</v>
      </c>
      <c r="X23" s="3256" t="s">
        <v>106</v>
      </c>
      <c r="Y23" s="3369"/>
      <c r="Z23" s="3369"/>
      <c r="AA23" s="3257"/>
      <c r="AB23" s="2018"/>
      <c r="AC23" s="1796" t="s">
        <v>10</v>
      </c>
      <c r="AD23" s="1791"/>
      <c r="AE23" s="1792" t="s">
        <v>3</v>
      </c>
      <c r="AF23" s="2018"/>
      <c r="AG23" s="1796" t="s">
        <v>10</v>
      </c>
      <c r="AH23" s="1791"/>
      <c r="AI23" s="1792" t="s">
        <v>3</v>
      </c>
      <c r="AJ23" s="2018"/>
      <c r="AK23" s="1796" t="s">
        <v>10</v>
      </c>
      <c r="AL23" s="1791"/>
      <c r="AM23" s="1792" t="s">
        <v>3</v>
      </c>
    </row>
    <row r="24" spans="1:39" ht="32.25" customHeight="1">
      <c r="A24" s="3374">
        <v>13</v>
      </c>
      <c r="B24" s="3143" t="s">
        <v>73</v>
      </c>
      <c r="C24" s="3144"/>
      <c r="D24" s="3144"/>
      <c r="E24" s="3145"/>
      <c r="F24" s="1427" t="s">
        <v>3</v>
      </c>
      <c r="G24" s="1005" t="str">
        <f>'XM.GUI MAIL'!$E$24</f>
        <v>5~10</v>
      </c>
      <c r="H24" s="2206" t="str">
        <f>'XM.GUI MAIL'!$F$24</f>
        <v>(7.5±1)</v>
      </c>
      <c r="I24" s="2200">
        <f>'XM.GUI MAIL'!AD24</f>
        <v>7.8846153846153841</v>
      </c>
      <c r="J24" s="1055" t="s">
        <v>8</v>
      </c>
      <c r="K24" s="57">
        <f>'XM.GUI MAIL'!AG24</f>
        <v>0</v>
      </c>
      <c r="L24" s="56" t="s">
        <v>10</v>
      </c>
      <c r="M24" s="1833" t="str">
        <f>'XM.GUI MAIL'!AK24</f>
        <v xml:space="preserve">ko sx </v>
      </c>
      <c r="N24" s="1055" t="s">
        <v>8</v>
      </c>
      <c r="O24" s="57">
        <f>'XM.GUI MAIL'!AN24</f>
        <v>0</v>
      </c>
      <c r="P24" s="56" t="s">
        <v>10</v>
      </c>
      <c r="Q24" s="1833" t="s">
        <v>1692</v>
      </c>
      <c r="R24" s="1055" t="s">
        <v>8</v>
      </c>
      <c r="S24" s="57">
        <f>'XM.GUI MAIL'!AU24</f>
        <v>0</v>
      </c>
      <c r="T24" s="56" t="s">
        <v>10</v>
      </c>
      <c r="U24" s="102"/>
      <c r="W24" s="3374">
        <v>13</v>
      </c>
      <c r="X24" s="3143" t="s">
        <v>73</v>
      </c>
      <c r="Y24" s="3144"/>
      <c r="Z24" s="3144"/>
      <c r="AA24" s="3145"/>
      <c r="AB24" s="2018"/>
      <c r="AC24" s="1741" t="s">
        <v>10</v>
      </c>
      <c r="AD24" s="1791"/>
      <c r="AE24" s="1759" t="s">
        <v>3</v>
      </c>
      <c r="AF24" s="2018"/>
      <c r="AG24" s="1741" t="s">
        <v>10</v>
      </c>
      <c r="AH24" s="1791"/>
      <c r="AI24" s="1759" t="s">
        <v>3</v>
      </c>
      <c r="AJ24" s="2018"/>
      <c r="AK24" s="1741" t="s">
        <v>10</v>
      </c>
      <c r="AL24" s="1791"/>
      <c r="AM24" s="1759" t="s">
        <v>3</v>
      </c>
    </row>
    <row r="25" spans="1:39" ht="32.25" customHeight="1">
      <c r="A25" s="3375"/>
      <c r="B25" s="3146"/>
      <c r="C25" s="3147"/>
      <c r="D25" s="3147"/>
      <c r="E25" s="3148"/>
      <c r="F25" s="1427" t="s">
        <v>5</v>
      </c>
      <c r="G25" s="1005" t="str">
        <f>'XM.GUI MAIL'!$E$25</f>
        <v>2.0~2.4</v>
      </c>
      <c r="H25" s="2206" t="str">
        <f>'XM.GUI MAIL'!$F$25</f>
        <v>(2.2±0.1)</v>
      </c>
      <c r="I25" s="2176">
        <f>'XM.GUI MAIL'!AD25</f>
        <v>2.4</v>
      </c>
      <c r="J25" s="1055"/>
      <c r="K25" s="55">
        <f>'XM.GUI MAIL'!AG25</f>
        <v>0</v>
      </c>
      <c r="L25" s="2231"/>
      <c r="M25" s="2176" t="str">
        <f>'XM.GUI MAIL'!AK25</f>
        <v xml:space="preserve">ko sx </v>
      </c>
      <c r="N25" s="1055"/>
      <c r="O25" s="55">
        <f>'XM.GUI MAIL'!AN25</f>
        <v>0</v>
      </c>
      <c r="P25" s="56"/>
      <c r="Q25" s="1833" t="s">
        <v>1692</v>
      </c>
      <c r="R25" s="1055"/>
      <c r="S25" s="55">
        <f>'XM.GUI MAIL'!AU25</f>
        <v>0</v>
      </c>
      <c r="T25" s="56"/>
      <c r="U25" s="102"/>
      <c r="W25" s="3375"/>
      <c r="X25" s="3146"/>
      <c r="Y25" s="3147"/>
      <c r="Z25" s="3147"/>
      <c r="AA25" s="3148"/>
      <c r="AB25" s="2019"/>
      <c r="AC25" s="1741"/>
      <c r="AD25" s="1811"/>
      <c r="AE25" s="1759" t="s">
        <v>5</v>
      </c>
      <c r="AF25" s="2019"/>
      <c r="AG25" s="1741"/>
      <c r="AH25" s="1811"/>
      <c r="AI25" s="1759" t="s">
        <v>5</v>
      </c>
      <c r="AJ25" s="2019"/>
      <c r="AK25" s="1741"/>
      <c r="AL25" s="1811"/>
      <c r="AM25" s="1759" t="s">
        <v>5</v>
      </c>
    </row>
    <row r="26" spans="1:39" ht="34.5" customHeight="1">
      <c r="A26" s="258"/>
      <c r="B26" s="259"/>
      <c r="C26" s="259"/>
      <c r="D26" s="259"/>
      <c r="E26" s="259"/>
      <c r="F26" s="259"/>
      <c r="G26" s="257" t="s">
        <v>108</v>
      </c>
      <c r="H26" s="257"/>
      <c r="I26" s="259"/>
      <c r="J26" s="259"/>
      <c r="K26" s="259"/>
      <c r="L26" s="259"/>
      <c r="M26" s="259"/>
      <c r="N26" s="259"/>
      <c r="O26" s="259"/>
      <c r="P26" s="259"/>
      <c r="Q26" s="1442"/>
      <c r="R26" s="1442"/>
      <c r="S26" s="1442"/>
      <c r="T26" s="1442"/>
      <c r="U26" s="260"/>
      <c r="W26" s="258"/>
      <c r="X26" s="259"/>
      <c r="Y26" s="259"/>
      <c r="Z26" s="259"/>
      <c r="AA26" s="259"/>
      <c r="AB26" s="259"/>
      <c r="AC26" s="259"/>
      <c r="AD26" s="259"/>
      <c r="AE26" s="259"/>
      <c r="AF26" s="259"/>
      <c r="AG26" s="259"/>
      <c r="AH26" s="259"/>
      <c r="AI26" s="259"/>
      <c r="AJ26" s="259"/>
      <c r="AK26" s="259"/>
      <c r="AL26" s="259"/>
      <c r="AM26" s="259"/>
    </row>
    <row r="27" spans="1:39" ht="34.5" customHeight="1">
      <c r="A27" s="102" t="s">
        <v>7</v>
      </c>
      <c r="B27" s="3256" t="s">
        <v>60</v>
      </c>
      <c r="C27" s="3369"/>
      <c r="D27" s="3369"/>
      <c r="E27" s="3257"/>
      <c r="F27" s="1426" t="s">
        <v>62</v>
      </c>
      <c r="G27" s="975" t="s">
        <v>1296</v>
      </c>
      <c r="H27" s="2204" t="s">
        <v>1289</v>
      </c>
      <c r="I27" s="3191" t="s">
        <v>45</v>
      </c>
      <c r="J27" s="3192"/>
      <c r="K27" s="3190" t="s">
        <v>61</v>
      </c>
      <c r="L27" s="3192"/>
      <c r="M27" s="3190" t="s">
        <v>45</v>
      </c>
      <c r="N27" s="3192"/>
      <c r="O27" s="3190" t="s">
        <v>61</v>
      </c>
      <c r="P27" s="3192"/>
      <c r="Q27" s="3190" t="s">
        <v>45</v>
      </c>
      <c r="R27" s="3192"/>
      <c r="S27" s="3190" t="s">
        <v>61</v>
      </c>
      <c r="T27" s="3192"/>
      <c r="U27" s="1429"/>
      <c r="W27" s="102" t="s">
        <v>7</v>
      </c>
      <c r="X27" s="3256" t="s">
        <v>60</v>
      </c>
      <c r="Y27" s="3369"/>
      <c r="Z27" s="3369"/>
      <c r="AA27" s="3257"/>
      <c r="AB27" s="3366" t="s">
        <v>1345</v>
      </c>
      <c r="AC27" s="3199"/>
      <c r="AD27" s="3199"/>
      <c r="AE27" s="3200"/>
      <c r="AF27" s="3366" t="s">
        <v>1345</v>
      </c>
      <c r="AG27" s="3199"/>
      <c r="AH27" s="3199"/>
      <c r="AI27" s="3200"/>
      <c r="AJ27" s="3366" t="s">
        <v>1345</v>
      </c>
      <c r="AK27" s="3199"/>
      <c r="AL27" s="3199"/>
      <c r="AM27" s="3200"/>
    </row>
    <row r="28" spans="1:39" ht="34.5" customHeight="1">
      <c r="A28" s="102">
        <v>1</v>
      </c>
      <c r="B28" s="3256" t="s">
        <v>64</v>
      </c>
      <c r="C28" s="3369"/>
      <c r="D28" s="3369"/>
      <c r="E28" s="3257"/>
      <c r="F28" s="21" t="s">
        <v>104</v>
      </c>
      <c r="G28" s="1006" t="str">
        <f>'XM.GUI MAIL'!$E$28</f>
        <v>50~70</v>
      </c>
      <c r="H28" s="2222" t="str">
        <f>'XM.GUI MAIL'!$F$28</f>
        <v>(60±5)</v>
      </c>
      <c r="I28" s="3195">
        <f>'XM.FILE GOC'!AD28</f>
        <v>63</v>
      </c>
      <c r="J28" s="3121"/>
      <c r="K28" s="3121">
        <f>'XM.GUI MAIL'!AG28</f>
        <v>62</v>
      </c>
      <c r="L28" s="3121"/>
      <c r="M28" s="3121">
        <f>'XM.FILE GOC'!AK28</f>
        <v>62</v>
      </c>
      <c r="N28" s="3121"/>
      <c r="O28" s="3121">
        <f>'XM.GUI MAIL'!AN28</f>
        <v>61</v>
      </c>
      <c r="P28" s="3121"/>
      <c r="Q28" s="3121">
        <f>'XM.FILE GOC'!AR28</f>
        <v>63</v>
      </c>
      <c r="R28" s="3121"/>
      <c r="S28" s="3121">
        <f>'XM.GUI MAIL'!AU28</f>
        <v>62</v>
      </c>
      <c r="T28" s="3121"/>
      <c r="U28" s="102"/>
      <c r="W28" s="102">
        <v>1</v>
      </c>
      <c r="X28" s="3256" t="s">
        <v>64</v>
      </c>
      <c r="Y28" s="3369"/>
      <c r="Z28" s="3369"/>
      <c r="AA28" s="3257"/>
      <c r="AB28" s="1786"/>
      <c r="AC28" s="1787"/>
      <c r="AD28" s="1787"/>
      <c r="AE28" s="1506"/>
      <c r="AF28" s="1786"/>
      <c r="AG28" s="1787"/>
      <c r="AH28" s="1787"/>
      <c r="AI28" s="1506"/>
      <c r="AJ28" s="1786"/>
      <c r="AK28" s="1787"/>
      <c r="AL28" s="1787"/>
      <c r="AM28" s="1506"/>
    </row>
    <row r="29" spans="1:39" ht="34.5" customHeight="1">
      <c r="A29" s="102">
        <v>2</v>
      </c>
      <c r="B29" s="3256" t="s">
        <v>65</v>
      </c>
      <c r="C29" s="3369" t="s">
        <v>65</v>
      </c>
      <c r="D29" s="3369" t="s">
        <v>65</v>
      </c>
      <c r="E29" s="3257" t="s">
        <v>65</v>
      </c>
      <c r="F29" s="21" t="s">
        <v>104</v>
      </c>
      <c r="G29" s="1006" t="str">
        <f>'XM.GUI MAIL'!$E$29</f>
        <v>50~70</v>
      </c>
      <c r="H29" s="2222" t="str">
        <f>'XM.GUI MAIL'!$F$29</f>
        <v>(60±5)</v>
      </c>
      <c r="I29" s="3195">
        <f>'XM.FILE GOC'!AD29</f>
        <v>61</v>
      </c>
      <c r="J29" s="3121"/>
      <c r="K29" s="3121">
        <f>'XM.GUI MAIL'!AG29</f>
        <v>60</v>
      </c>
      <c r="L29" s="3121"/>
      <c r="M29" s="3121">
        <f>'XM.FILE GOC'!AK29</f>
        <v>61</v>
      </c>
      <c r="N29" s="3121"/>
      <c r="O29" s="3121">
        <f>'XM.GUI MAIL'!AN29</f>
        <v>60</v>
      </c>
      <c r="P29" s="3121"/>
      <c r="Q29" s="3121">
        <f>'XM.FILE GOC'!AR29</f>
        <v>60</v>
      </c>
      <c r="R29" s="3121"/>
      <c r="S29" s="3121">
        <f>'XM.GUI MAIL'!AU29</f>
        <v>59</v>
      </c>
      <c r="T29" s="3121"/>
      <c r="U29" s="102"/>
      <c r="W29" s="102">
        <v>2</v>
      </c>
      <c r="X29" s="3256" t="s">
        <v>65</v>
      </c>
      <c r="Y29" s="3369" t="s">
        <v>65</v>
      </c>
      <c r="Z29" s="3369" t="s">
        <v>65</v>
      </c>
      <c r="AA29" s="3257" t="s">
        <v>65</v>
      </c>
      <c r="AB29" s="1786"/>
      <c r="AC29" s="1787"/>
      <c r="AD29" s="1787"/>
      <c r="AE29" s="1506"/>
      <c r="AF29" s="1786"/>
      <c r="AG29" s="1787"/>
      <c r="AH29" s="1787"/>
      <c r="AI29" s="1506"/>
      <c r="AJ29" s="1786"/>
      <c r="AK29" s="1787"/>
      <c r="AL29" s="1787"/>
      <c r="AM29" s="1506"/>
    </row>
    <row r="30" spans="1:39" ht="34.5" customHeight="1">
      <c r="A30" s="102">
        <v>3</v>
      </c>
      <c r="B30" s="3256" t="s">
        <v>67</v>
      </c>
      <c r="C30" s="3369" t="s">
        <v>67</v>
      </c>
      <c r="D30" s="3369" t="s">
        <v>67</v>
      </c>
      <c r="E30" s="3257" t="s">
        <v>67</v>
      </c>
      <c r="F30" s="21" t="s">
        <v>104</v>
      </c>
      <c r="G30" s="1006" t="str">
        <f>'XM.GUI MAIL'!$E$30</f>
        <v>40~60</v>
      </c>
      <c r="H30" s="2222" t="str">
        <f>'XM.GUI MAIL'!$F$30</f>
        <v>(50±5)</v>
      </c>
      <c r="I30" s="3096">
        <f>'XM.FILE GOC'!AD30</f>
        <v>54</v>
      </c>
      <c r="J30" s="3086"/>
      <c r="K30" s="3095">
        <f>'XM.GUI MAIL'!AG30</f>
        <v>53</v>
      </c>
      <c r="L30" s="3086"/>
      <c r="M30" s="3095">
        <f>'XM.FILE GOC'!AK30</f>
        <v>53</v>
      </c>
      <c r="N30" s="3086"/>
      <c r="O30" s="3095">
        <f>'XM.GUI MAIL'!AN30</f>
        <v>52</v>
      </c>
      <c r="P30" s="3086"/>
      <c r="Q30" s="3095">
        <f>'XM.FILE GOC'!AR30</f>
        <v>53</v>
      </c>
      <c r="R30" s="3086"/>
      <c r="S30" s="3095">
        <f>'XM.GUI MAIL'!AU30</f>
        <v>52</v>
      </c>
      <c r="T30" s="3086"/>
      <c r="U30" s="102"/>
      <c r="W30" s="102">
        <v>3</v>
      </c>
      <c r="X30" s="3256" t="s">
        <v>67</v>
      </c>
      <c r="Y30" s="3369" t="s">
        <v>67</v>
      </c>
      <c r="Z30" s="3369" t="s">
        <v>67</v>
      </c>
      <c r="AA30" s="3257" t="s">
        <v>67</v>
      </c>
      <c r="AB30" s="1786"/>
      <c r="AC30" s="1787"/>
      <c r="AD30" s="1787"/>
      <c r="AE30" s="1506"/>
      <c r="AF30" s="1786"/>
      <c r="AG30" s="1787"/>
      <c r="AH30" s="1787"/>
      <c r="AI30" s="1506"/>
      <c r="AJ30" s="1786"/>
      <c r="AK30" s="1787"/>
      <c r="AL30" s="1787"/>
      <c r="AM30" s="1506"/>
    </row>
    <row r="31" spans="1:39" ht="34.5" customHeight="1">
      <c r="A31" s="102">
        <v>4</v>
      </c>
      <c r="B31" s="3256" t="s">
        <v>66</v>
      </c>
      <c r="C31" s="3369" t="s">
        <v>66</v>
      </c>
      <c r="D31" s="3369" t="s">
        <v>66</v>
      </c>
      <c r="E31" s="3257" t="s">
        <v>66</v>
      </c>
      <c r="F31" s="21" t="s">
        <v>104</v>
      </c>
      <c r="G31" s="1006" t="str">
        <f>'XM.GUI MAIL'!$E$31</f>
        <v>40~60</v>
      </c>
      <c r="H31" s="2222" t="str">
        <f>'XM.GUI MAIL'!$F$31</f>
        <v>(50±5)</v>
      </c>
      <c r="I31" s="3096">
        <f>'XM.FILE GOC'!AD31</f>
        <v>50</v>
      </c>
      <c r="J31" s="3086"/>
      <c r="K31" s="3095">
        <f>'XM.GUI MAIL'!AG31</f>
        <v>49</v>
      </c>
      <c r="L31" s="3086"/>
      <c r="M31" s="3095">
        <f>'XM.FILE GOC'!AK31</f>
        <v>48</v>
      </c>
      <c r="N31" s="3086"/>
      <c r="O31" s="3095">
        <f>'XM.GUI MAIL'!AN31</f>
        <v>47</v>
      </c>
      <c r="P31" s="3086"/>
      <c r="Q31" s="3095">
        <f>'XM.FILE GOC'!AR31</f>
        <v>49</v>
      </c>
      <c r="R31" s="3086"/>
      <c r="S31" s="3095">
        <f>'XM.GUI MAIL'!AU31</f>
        <v>48</v>
      </c>
      <c r="T31" s="3086"/>
      <c r="U31" s="102"/>
      <c r="W31" s="102">
        <v>4</v>
      </c>
      <c r="X31" s="3256" t="s">
        <v>66</v>
      </c>
      <c r="Y31" s="3369" t="s">
        <v>66</v>
      </c>
      <c r="Z31" s="3369" t="s">
        <v>66</v>
      </c>
      <c r="AA31" s="3257" t="s">
        <v>66</v>
      </c>
      <c r="AB31" s="1786"/>
      <c r="AC31" s="1787"/>
      <c r="AD31" s="1787"/>
      <c r="AE31" s="1506"/>
      <c r="AF31" s="1786"/>
      <c r="AG31" s="1787"/>
      <c r="AH31" s="1787"/>
      <c r="AI31" s="1506"/>
      <c r="AJ31" s="1786"/>
      <c r="AK31" s="1787"/>
      <c r="AL31" s="1787"/>
      <c r="AM31" s="1506"/>
    </row>
    <row r="32" spans="1:39" ht="34.5" customHeight="1">
      <c r="A32" s="102">
        <v>5</v>
      </c>
      <c r="B32" s="3256" t="s">
        <v>68</v>
      </c>
      <c r="C32" s="3369" t="s">
        <v>68</v>
      </c>
      <c r="D32" s="3369" t="s">
        <v>68</v>
      </c>
      <c r="E32" s="3257" t="s">
        <v>68</v>
      </c>
      <c r="F32" s="21" t="s">
        <v>104</v>
      </c>
      <c r="G32" s="1006" t="str">
        <f>'XM.GUI MAIL'!$E$32</f>
        <v>20~35</v>
      </c>
      <c r="H32" s="2222" t="str">
        <f>'XM.GUI MAIL'!$F$32</f>
        <v>(30±4)</v>
      </c>
      <c r="I32" s="3195">
        <f>'XM.FILE GOC'!AD32</f>
        <v>31</v>
      </c>
      <c r="J32" s="3121"/>
      <c r="K32" s="3121">
        <f>'XM.GUI MAIL'!AG32</f>
        <v>31</v>
      </c>
      <c r="L32" s="3121"/>
      <c r="M32" s="3121">
        <f>'XM.FILE GOC'!AK32</f>
        <v>30</v>
      </c>
      <c r="N32" s="3121"/>
      <c r="O32" s="3121">
        <f>'XM.GUI MAIL'!AN32</f>
        <v>29</v>
      </c>
      <c r="P32" s="3121"/>
      <c r="Q32" s="3121">
        <f>'XM.FILE GOC'!AR32</f>
        <v>29</v>
      </c>
      <c r="R32" s="3121"/>
      <c r="S32" s="3121">
        <f>'XM.GUI MAIL'!AU32</f>
        <v>29</v>
      </c>
      <c r="T32" s="3121"/>
      <c r="U32" s="102"/>
      <c r="W32" s="102">
        <v>5</v>
      </c>
      <c r="X32" s="3256" t="s">
        <v>68</v>
      </c>
      <c r="Y32" s="3369" t="s">
        <v>68</v>
      </c>
      <c r="Z32" s="3369" t="s">
        <v>68</v>
      </c>
      <c r="AA32" s="3257" t="s">
        <v>68</v>
      </c>
      <c r="AB32" s="1786"/>
      <c r="AC32" s="1787"/>
      <c r="AD32" s="1787"/>
      <c r="AE32" s="1506"/>
      <c r="AF32" s="1786"/>
      <c r="AG32" s="1787"/>
      <c r="AH32" s="1787"/>
      <c r="AI32" s="1506"/>
      <c r="AJ32" s="1786"/>
      <c r="AK32" s="1787"/>
      <c r="AL32" s="1787"/>
      <c r="AM32" s="1506"/>
    </row>
    <row r="33" spans="1:39" ht="34.5" customHeight="1">
      <c r="A33" s="102">
        <v>6</v>
      </c>
      <c r="B33" s="3256" t="s">
        <v>972</v>
      </c>
      <c r="C33" s="3369" t="s">
        <v>972</v>
      </c>
      <c r="D33" s="3369" t="s">
        <v>972</v>
      </c>
      <c r="E33" s="3257" t="s">
        <v>972</v>
      </c>
      <c r="F33" s="21" t="s">
        <v>104</v>
      </c>
      <c r="G33" s="1006" t="str">
        <f>'XM.GUI MAIL'!$E$33</f>
        <v>30~40</v>
      </c>
      <c r="H33" s="2222" t="str">
        <f>'XM.GUI MAIL'!$F$33</f>
        <v>(34±3)</v>
      </c>
      <c r="I33" s="3195">
        <f>'XM.FILE GOC'!AD33</f>
        <v>37</v>
      </c>
      <c r="J33" s="3121"/>
      <c r="K33" s="3121">
        <f>'XM.GUI MAIL'!AG33</f>
        <v>37</v>
      </c>
      <c r="L33" s="3121"/>
      <c r="M33" s="3121">
        <f>'XM.FILE GOC'!AK33</f>
        <v>37</v>
      </c>
      <c r="N33" s="3121"/>
      <c r="O33" s="3121">
        <f>'XM.GUI MAIL'!AN33</f>
        <v>36</v>
      </c>
      <c r="P33" s="3121"/>
      <c r="Q33" s="3121">
        <f>'XM.FILE GOC'!AR33</f>
        <v>38</v>
      </c>
      <c r="R33" s="3121"/>
      <c r="S33" s="3121">
        <f>'XM.GUI MAIL'!AU33</f>
        <v>38</v>
      </c>
      <c r="T33" s="3121"/>
      <c r="U33" s="102"/>
      <c r="W33" s="102">
        <v>6</v>
      </c>
      <c r="X33" s="3256" t="s">
        <v>972</v>
      </c>
      <c r="Y33" s="3369" t="s">
        <v>972</v>
      </c>
      <c r="Z33" s="3369" t="s">
        <v>972</v>
      </c>
      <c r="AA33" s="3257" t="s">
        <v>972</v>
      </c>
      <c r="AB33" s="1786"/>
      <c r="AC33" s="1787"/>
      <c r="AD33" s="1787"/>
      <c r="AE33" s="1506"/>
      <c r="AF33" s="1786"/>
      <c r="AG33" s="1787"/>
      <c r="AH33" s="1787"/>
      <c r="AI33" s="1506"/>
      <c r="AJ33" s="1786"/>
      <c r="AK33" s="1787"/>
      <c r="AL33" s="1787"/>
      <c r="AM33" s="1506"/>
    </row>
    <row r="34" spans="1:39" ht="34.5" customHeight="1">
      <c r="A34" s="102">
        <v>7</v>
      </c>
      <c r="B34" s="3256" t="s">
        <v>69</v>
      </c>
      <c r="C34" s="3369" t="s">
        <v>69</v>
      </c>
      <c r="D34" s="3369" t="s">
        <v>69</v>
      </c>
      <c r="E34" s="3257" t="s">
        <v>69</v>
      </c>
      <c r="F34" s="21" t="s">
        <v>104</v>
      </c>
      <c r="G34" s="1006" t="str">
        <f>'XM.GUI MAIL'!$E$34</f>
        <v>50~70</v>
      </c>
      <c r="H34" s="2222" t="str">
        <f>'XM.GUI MAIL'!$F$34</f>
        <v>(60±10)</v>
      </c>
      <c r="I34" s="3195">
        <f>'XM.FILE GOC'!AD34</f>
        <v>57</v>
      </c>
      <c r="J34" s="3121"/>
      <c r="K34" s="3121">
        <f>'XM.GUI MAIL'!AG34</f>
        <v>56</v>
      </c>
      <c r="L34" s="3121"/>
      <c r="M34" s="3121">
        <f>'XM.FILE GOC'!AK34</f>
        <v>54</v>
      </c>
      <c r="N34" s="3121"/>
      <c r="O34" s="3121">
        <f>'XM.GUI MAIL'!AN34</f>
        <v>53</v>
      </c>
      <c r="P34" s="3121"/>
      <c r="Q34" s="3121">
        <f>'XM.FILE GOC'!AR34</f>
        <v>56</v>
      </c>
      <c r="R34" s="3121"/>
      <c r="S34" s="3121">
        <f>'XM.GUI MAIL'!AU34</f>
        <v>55</v>
      </c>
      <c r="T34" s="3121"/>
      <c r="U34" s="102"/>
      <c r="W34" s="102">
        <v>7</v>
      </c>
      <c r="X34" s="3256" t="s">
        <v>69</v>
      </c>
      <c r="Y34" s="3369" t="s">
        <v>69</v>
      </c>
      <c r="Z34" s="3369" t="s">
        <v>69</v>
      </c>
      <c r="AA34" s="3257" t="s">
        <v>69</v>
      </c>
      <c r="AB34" s="1786"/>
      <c r="AC34" s="1787"/>
      <c r="AD34" s="1787"/>
      <c r="AE34" s="1506"/>
      <c r="AF34" s="1786"/>
      <c r="AG34" s="1787"/>
      <c r="AH34" s="1787"/>
      <c r="AI34" s="1506"/>
      <c r="AJ34" s="1786"/>
      <c r="AK34" s="1787"/>
      <c r="AL34" s="1787"/>
      <c r="AM34" s="1506"/>
    </row>
    <row r="35" spans="1:39" ht="34.5" customHeight="1">
      <c r="A35" s="102">
        <v>8</v>
      </c>
      <c r="B35" s="3370" t="s">
        <v>70</v>
      </c>
      <c r="C35" s="3371" t="s">
        <v>70</v>
      </c>
      <c r="D35" s="3371" t="s">
        <v>70</v>
      </c>
      <c r="E35" s="3372" t="s">
        <v>70</v>
      </c>
      <c r="F35" s="21" t="s">
        <v>104</v>
      </c>
      <c r="G35" s="1006" t="str">
        <f>'XM.GUI MAIL'!$E$35</f>
        <v>80~100</v>
      </c>
      <c r="H35" s="2222" t="str">
        <f>'XM.GUI MAIL'!$F$35</f>
        <v>(90±5)</v>
      </c>
      <c r="I35" s="3192" t="str">
        <f>'XM.FILE GOC'!AD35</f>
        <v>\</v>
      </c>
      <c r="J35" s="3122"/>
      <c r="K35" s="3121">
        <f>'XM.GUI MAIL'!AG35</f>
        <v>92</v>
      </c>
      <c r="L35" s="3121"/>
      <c r="M35" s="3122" t="str">
        <f>'XM.FILE GOC'!AK35</f>
        <v>\</v>
      </c>
      <c r="N35" s="3122"/>
      <c r="O35" s="3121">
        <f>'XM.GUI MAIL'!AN35</f>
        <v>89</v>
      </c>
      <c r="P35" s="3121"/>
      <c r="Q35" s="3122" t="str">
        <f>'XM.FILE GOC'!AR35</f>
        <v>\</v>
      </c>
      <c r="R35" s="3122"/>
      <c r="S35" s="3121">
        <f>'XM.GUI MAIL'!AU35</f>
        <v>89</v>
      </c>
      <c r="T35" s="3121"/>
      <c r="U35" s="102"/>
      <c r="W35" s="102">
        <v>8</v>
      </c>
      <c r="X35" s="3370" t="s">
        <v>70</v>
      </c>
      <c r="Y35" s="3371" t="s">
        <v>70</v>
      </c>
      <c r="Z35" s="3371" t="s">
        <v>70</v>
      </c>
      <c r="AA35" s="3372" t="s">
        <v>70</v>
      </c>
      <c r="AB35" s="1785"/>
      <c r="AC35" s="1784"/>
      <c r="AD35" s="1784"/>
      <c r="AE35" s="1507"/>
      <c r="AF35" s="1785"/>
      <c r="AG35" s="1784"/>
      <c r="AH35" s="1784"/>
      <c r="AI35" s="1507"/>
      <c r="AJ35" s="1785"/>
      <c r="AK35" s="1784"/>
      <c r="AL35" s="1784"/>
      <c r="AM35" s="1507"/>
    </row>
    <row r="36" spans="1:39" ht="34.5" customHeight="1">
      <c r="A36" s="258"/>
      <c r="B36" s="254"/>
      <c r="C36" s="255"/>
      <c r="D36" s="255"/>
      <c r="E36" s="255"/>
      <c r="F36" s="255"/>
      <c r="G36" s="257" t="s">
        <v>109</v>
      </c>
      <c r="H36" s="257"/>
      <c r="I36" s="255"/>
      <c r="J36" s="255"/>
      <c r="K36" s="255"/>
      <c r="L36" s="255"/>
      <c r="M36" s="255"/>
      <c r="N36" s="255"/>
      <c r="O36" s="255"/>
      <c r="P36" s="255"/>
      <c r="Q36" s="255"/>
      <c r="R36" s="255"/>
      <c r="S36" s="255"/>
      <c r="T36" s="255"/>
      <c r="U36" s="256"/>
      <c r="W36" s="258"/>
      <c r="X36" s="1508"/>
      <c r="Y36" s="1508"/>
      <c r="Z36" s="1508"/>
      <c r="AA36" s="1508"/>
      <c r="AB36" s="1508"/>
      <c r="AC36" s="1508"/>
      <c r="AD36" s="1508"/>
      <c r="AE36" s="1508"/>
      <c r="AF36" s="1508"/>
      <c r="AG36" s="1508"/>
      <c r="AH36" s="1508"/>
      <c r="AI36" s="1508"/>
      <c r="AJ36" s="16"/>
      <c r="AK36" s="16"/>
      <c r="AL36" s="16"/>
      <c r="AM36" s="16"/>
    </row>
    <row r="37" spans="1:39" ht="34.5" customHeight="1">
      <c r="A37" s="102" t="s">
        <v>7</v>
      </c>
      <c r="B37" s="3256" t="s">
        <v>91</v>
      </c>
      <c r="C37" s="3369"/>
      <c r="D37" s="3369"/>
      <c r="E37" s="3257"/>
      <c r="F37" s="1435" t="s">
        <v>92</v>
      </c>
      <c r="G37" s="975" t="s">
        <v>1296</v>
      </c>
      <c r="H37" s="2204" t="s">
        <v>1289</v>
      </c>
      <c r="I37" s="3191" t="s">
        <v>110</v>
      </c>
      <c r="J37" s="3191"/>
      <c r="K37" s="3191"/>
      <c r="L37" s="3192"/>
      <c r="M37" s="3190" t="s">
        <v>110</v>
      </c>
      <c r="N37" s="3191"/>
      <c r="O37" s="3191"/>
      <c r="P37" s="3192"/>
      <c r="Q37" s="3190" t="s">
        <v>110</v>
      </c>
      <c r="R37" s="3191"/>
      <c r="S37" s="3191"/>
      <c r="T37" s="3192"/>
      <c r="U37" s="1429"/>
      <c r="W37" s="102" t="s">
        <v>7</v>
      </c>
      <c r="X37" s="3386" t="s">
        <v>91</v>
      </c>
      <c r="Y37" s="3386"/>
      <c r="Z37" s="3386"/>
      <c r="AA37" s="3386"/>
      <c r="AB37" s="3366" t="s">
        <v>1345</v>
      </c>
      <c r="AC37" s="3199"/>
      <c r="AD37" s="3199"/>
      <c r="AE37" s="3200"/>
      <c r="AF37" s="3366" t="s">
        <v>1345</v>
      </c>
      <c r="AG37" s="3199"/>
      <c r="AH37" s="3199"/>
      <c r="AI37" s="3200"/>
      <c r="AJ37" s="3366" t="s">
        <v>1345</v>
      </c>
      <c r="AK37" s="3199"/>
      <c r="AL37" s="3199"/>
      <c r="AM37" s="3200"/>
    </row>
    <row r="38" spans="1:39" ht="39.75" customHeight="1">
      <c r="A38" s="102">
        <v>1</v>
      </c>
      <c r="B38" s="3256" t="s">
        <v>50</v>
      </c>
      <c r="C38" s="3369"/>
      <c r="D38" s="3369"/>
      <c r="E38" s="3257"/>
      <c r="F38" s="2865" t="s">
        <v>1641</v>
      </c>
      <c r="G38" s="261" t="str">
        <f>'XM.GUI MAIL'!$E$37</f>
        <v>300-360</v>
      </c>
      <c r="H38" s="2223" t="str">
        <f>'XM.GUI MAIL'!$F$37</f>
        <v>300-360</v>
      </c>
      <c r="I38" s="3357">
        <f>'XM.FILE GOC'!AD37</f>
        <v>460</v>
      </c>
      <c r="J38" s="3357"/>
      <c r="K38" s="3357"/>
      <c r="L38" s="3357"/>
      <c r="M38" s="3295">
        <f>'XM.FILE GOC'!AK37</f>
        <v>450</v>
      </c>
      <c r="N38" s="3357"/>
      <c r="O38" s="3357"/>
      <c r="P38" s="3357"/>
      <c r="Q38" s="3295">
        <f>'XM.FILE GOC'!AR37</f>
        <v>455</v>
      </c>
      <c r="R38" s="3357"/>
      <c r="S38" s="3357"/>
      <c r="T38" s="3357"/>
      <c r="U38" s="102"/>
      <c r="W38" s="102">
        <v>1</v>
      </c>
      <c r="X38" s="3256" t="s">
        <v>50</v>
      </c>
      <c r="Y38" s="3369"/>
      <c r="Z38" s="3369"/>
      <c r="AA38" s="3257"/>
      <c r="AB38" s="1505"/>
      <c r="AC38" s="1787"/>
      <c r="AD38" s="1787"/>
      <c r="AE38" s="1506"/>
      <c r="AF38" s="1599"/>
      <c r="AG38" s="1787"/>
      <c r="AH38" s="1787"/>
      <c r="AI38" s="1506"/>
      <c r="AJ38" s="1505"/>
      <c r="AK38" s="1787"/>
      <c r="AL38" s="1787"/>
      <c r="AM38" s="1506"/>
    </row>
    <row r="39" spans="1:39" ht="39.75" customHeight="1">
      <c r="A39" s="102">
        <v>2</v>
      </c>
      <c r="B39" s="3256" t="s">
        <v>85</v>
      </c>
      <c r="C39" s="3369"/>
      <c r="D39" s="3369"/>
      <c r="E39" s="3257"/>
      <c r="F39" s="2865" t="s">
        <v>1641</v>
      </c>
      <c r="G39" s="262" t="str">
        <f>'XM.GUI MAIL'!$E$38</f>
        <v>30-50</v>
      </c>
      <c r="H39" s="2224" t="str">
        <f>'XM.GUI MAIL'!$F$38</f>
        <v>30-50</v>
      </c>
      <c r="I39" s="3357" t="str">
        <f>'XM.FILE GOC'!AD38</f>
        <v xml:space="preserve">SHOP </v>
      </c>
      <c r="J39" s="3357"/>
      <c r="K39" s="3357"/>
      <c r="L39" s="3357"/>
      <c r="M39" s="3295" t="str">
        <f>'XM.FILE GOC'!AK38</f>
        <v xml:space="preserve">SHOP </v>
      </c>
      <c r="N39" s="3357"/>
      <c r="O39" s="3357"/>
      <c r="P39" s="3357"/>
      <c r="Q39" s="3295" t="str">
        <f>'XM.FILE GOC'!AR38</f>
        <v xml:space="preserve">SHOP </v>
      </c>
      <c r="R39" s="3357"/>
      <c r="S39" s="3357"/>
      <c r="T39" s="3357"/>
      <c r="U39" s="102"/>
      <c r="W39" s="102">
        <v>2</v>
      </c>
      <c r="X39" s="3256" t="s">
        <v>85</v>
      </c>
      <c r="Y39" s="3369"/>
      <c r="Z39" s="3369"/>
      <c r="AA39" s="3257"/>
      <c r="AB39" s="1501"/>
      <c r="AC39" s="1784"/>
      <c r="AD39" s="1784"/>
      <c r="AE39" s="1507"/>
      <c r="AF39" s="1593"/>
      <c r="AG39" s="1784"/>
      <c r="AH39" s="1784"/>
      <c r="AI39" s="1507"/>
      <c r="AJ39" s="1501"/>
      <c r="AK39" s="1784"/>
      <c r="AL39" s="1784"/>
      <c r="AM39" s="1507"/>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2277" priority="1187">
      <formula>I38&lt;300</formula>
    </cfRule>
    <cfRule type="expression" dxfId="2276" priority="1188">
      <formula>I38&gt;360</formula>
    </cfRule>
  </conditionalFormatting>
  <conditionalFormatting sqref="I39 M39 Q39">
    <cfRule type="expression" dxfId="2275" priority="1185">
      <formula>I39&lt;30</formula>
    </cfRule>
    <cfRule type="expression" dxfId="2274" priority="1186">
      <formula>I39&gt;50</formula>
    </cfRule>
  </conditionalFormatting>
  <conditionalFormatting sqref="I16">
    <cfRule type="cellIs" dxfId="2273" priority="373" operator="between">
      <formula>130</formula>
      <formula>132.99</formula>
    </cfRule>
    <cfRule type="cellIs" dxfId="2272" priority="374" operator="between">
      <formula>147.1</formula>
      <formula>150</formula>
    </cfRule>
    <cfRule type="expression" dxfId="2271" priority="375">
      <formula>I16&lt;130</formula>
    </cfRule>
    <cfRule type="expression" dxfId="2270" priority="376">
      <formula>I16&gt;150</formula>
    </cfRule>
  </conditionalFormatting>
  <conditionalFormatting sqref="I17">
    <cfRule type="expression" dxfId="2269" priority="371">
      <formula>I17&lt;8</formula>
    </cfRule>
    <cfRule type="expression" dxfId="2268" priority="372">
      <formula>I17&gt;12</formula>
    </cfRule>
  </conditionalFormatting>
  <conditionalFormatting sqref="I21">
    <cfRule type="cellIs" dxfId="2267" priority="364" operator="between">
      <formula>15%</formula>
      <formula>16.99%</formula>
    </cfRule>
    <cfRule type="cellIs" dxfId="2266" priority="365" operator="between">
      <formula>27.01%</formula>
      <formula>30%</formula>
    </cfRule>
    <cfRule type="expression" dxfId="2265" priority="366">
      <formula>I21&lt;15%</formula>
    </cfRule>
    <cfRule type="expression" dxfId="2264" priority="367">
      <formula>I21&gt;30%</formula>
    </cfRule>
  </conditionalFormatting>
  <conditionalFormatting sqref="I22">
    <cfRule type="cellIs" dxfId="2263" priority="360" operator="between">
      <formula>5%</formula>
      <formula>6.99%</formula>
    </cfRule>
    <cfRule type="cellIs" dxfId="2262" priority="361" operator="between">
      <formula>12.99%</formula>
      <formula>15%</formula>
    </cfRule>
    <cfRule type="expression" dxfId="2261" priority="362">
      <formula>I22&lt;5%</formula>
    </cfRule>
    <cfRule type="expression" dxfId="2260" priority="363">
      <formula>I22&gt;15%</formula>
    </cfRule>
  </conditionalFormatting>
  <conditionalFormatting sqref="I6 I9">
    <cfRule type="cellIs" dxfId="2259" priority="356" operator="between">
      <formula>20</formula>
      <formula>24.99</formula>
    </cfRule>
    <cfRule type="cellIs" dxfId="2258" priority="357" operator="between">
      <formula>35.1</formula>
      <formula>40</formula>
    </cfRule>
    <cfRule type="expression" dxfId="2257" priority="358">
      <formula>I6&lt;20</formula>
    </cfRule>
    <cfRule type="expression" dxfId="2256" priority="359">
      <formula>I6&gt;40</formula>
    </cfRule>
  </conditionalFormatting>
  <conditionalFormatting sqref="I12 I14">
    <cfRule type="expression" dxfId="2255" priority="354" stopIfTrue="1">
      <formula>I12&gt;80</formula>
    </cfRule>
    <cfRule type="expression" dxfId="2254" priority="355" stopIfTrue="1">
      <formula>I12&lt;60</formula>
    </cfRule>
  </conditionalFormatting>
  <conditionalFormatting sqref="I20">
    <cfRule type="cellIs" dxfId="2253" priority="350" operator="between">
      <formula>30%</formula>
      <formula>39.99%</formula>
    </cfRule>
    <cfRule type="cellIs" dxfId="2252" priority="351" operator="between">
      <formula>50.01%</formula>
      <formula>60%</formula>
    </cfRule>
    <cfRule type="expression" dxfId="2251" priority="352">
      <formula>I20&lt;30%</formula>
    </cfRule>
    <cfRule type="expression" dxfId="2250" priority="353">
      <formula>I20&gt;60%</formula>
    </cfRule>
  </conditionalFormatting>
  <conditionalFormatting sqref="I18">
    <cfRule type="cellIs" dxfId="2249" priority="347" operator="between">
      <formula>16.1</formula>
      <formula>18</formula>
    </cfRule>
    <cfRule type="expression" dxfId="2248" priority="348">
      <formula>I18&lt;12</formula>
    </cfRule>
    <cfRule type="expression" dxfId="2247" priority="349">
      <formula>I18&gt;18</formula>
    </cfRule>
  </conditionalFormatting>
  <conditionalFormatting sqref="M16">
    <cfRule type="cellIs" dxfId="2246" priority="339" operator="between">
      <formula>130</formula>
      <formula>132.99</formula>
    </cfRule>
    <cfRule type="cellIs" dxfId="2245" priority="340" operator="between">
      <formula>147.1</formula>
      <formula>150</formula>
    </cfRule>
    <cfRule type="expression" dxfId="2244" priority="341">
      <formula>M16&lt;130</formula>
    </cfRule>
    <cfRule type="expression" dxfId="2243" priority="342">
      <formula>M16&gt;150</formula>
    </cfRule>
  </conditionalFormatting>
  <conditionalFormatting sqref="M17">
    <cfRule type="expression" dxfId="2242" priority="337">
      <formula>M17&lt;8</formula>
    </cfRule>
    <cfRule type="expression" dxfId="2241" priority="338">
      <formula>M17&gt;12</formula>
    </cfRule>
  </conditionalFormatting>
  <conditionalFormatting sqref="M21">
    <cfRule type="cellIs" dxfId="2240" priority="330" operator="between">
      <formula>15%</formula>
      <formula>16.99%</formula>
    </cfRule>
    <cfRule type="cellIs" dxfId="2239" priority="331" operator="between">
      <formula>27.01%</formula>
      <formula>30%</formula>
    </cfRule>
    <cfRule type="expression" dxfId="2238" priority="332">
      <formula>M21&lt;15%</formula>
    </cfRule>
    <cfRule type="expression" dxfId="2237" priority="333">
      <formula>M21&gt;30%</formula>
    </cfRule>
  </conditionalFormatting>
  <conditionalFormatting sqref="M22">
    <cfRule type="cellIs" dxfId="2236" priority="326" operator="between">
      <formula>5%</formula>
      <formula>6.99%</formula>
    </cfRule>
    <cfRule type="cellIs" dxfId="2235" priority="327" operator="between">
      <formula>12.99%</formula>
      <formula>15%</formula>
    </cfRule>
    <cfRule type="expression" dxfId="2234" priority="328">
      <formula>M22&lt;5%</formula>
    </cfRule>
    <cfRule type="expression" dxfId="2233" priority="329">
      <formula>M22&gt;15%</formula>
    </cfRule>
  </conditionalFormatting>
  <conditionalFormatting sqref="M6 M9">
    <cfRule type="cellIs" dxfId="2232" priority="322" operator="between">
      <formula>20</formula>
      <formula>24.99</formula>
    </cfRule>
    <cfRule type="cellIs" dxfId="2231" priority="323" operator="between">
      <formula>35.1</formula>
      <formula>40</formula>
    </cfRule>
    <cfRule type="expression" dxfId="2230" priority="324">
      <formula>M6&lt;20</formula>
    </cfRule>
    <cfRule type="expression" dxfId="2229" priority="325">
      <formula>M6&gt;40</formula>
    </cfRule>
  </conditionalFormatting>
  <conditionalFormatting sqref="M12 M14">
    <cfRule type="expression" dxfId="2228" priority="320" stopIfTrue="1">
      <formula>M12&gt;80</formula>
    </cfRule>
    <cfRule type="expression" dxfId="2227" priority="321" stopIfTrue="1">
      <formula>M12&lt;60</formula>
    </cfRule>
  </conditionalFormatting>
  <conditionalFormatting sqref="M20">
    <cfRule type="cellIs" dxfId="2226" priority="316" operator="between">
      <formula>30%</formula>
      <formula>39.99%</formula>
    </cfRule>
    <cfRule type="cellIs" dxfId="2225" priority="317" operator="between">
      <formula>50.01%</formula>
      <formula>60%</formula>
    </cfRule>
    <cfRule type="expression" dxfId="2224" priority="318">
      <formula>M20&lt;30%</formula>
    </cfRule>
    <cfRule type="expression" dxfId="2223" priority="319">
      <formula>M20&gt;60%</formula>
    </cfRule>
  </conditionalFormatting>
  <conditionalFormatting sqref="M18">
    <cfRule type="cellIs" dxfId="2222" priority="313" operator="between">
      <formula>16.1</formula>
      <formula>18</formula>
    </cfRule>
    <cfRule type="expression" dxfId="2221" priority="314">
      <formula>M18&lt;12</formula>
    </cfRule>
    <cfRule type="expression" dxfId="2220" priority="315">
      <formula>M18&gt;18</formula>
    </cfRule>
  </conditionalFormatting>
  <conditionalFormatting sqref="Q16">
    <cfRule type="cellIs" dxfId="2219" priority="305" operator="between">
      <formula>130</formula>
      <formula>132.99</formula>
    </cfRule>
    <cfRule type="cellIs" dxfId="2218" priority="306" operator="between">
      <formula>147.1</formula>
      <formula>150</formula>
    </cfRule>
    <cfRule type="expression" dxfId="2217" priority="307">
      <formula>Q16&lt;130</formula>
    </cfRule>
    <cfRule type="expression" dxfId="2216" priority="308">
      <formula>Q16&gt;150</formula>
    </cfRule>
  </conditionalFormatting>
  <conditionalFormatting sqref="Q17">
    <cfRule type="expression" dxfId="2215" priority="303">
      <formula>Q17&lt;8</formula>
    </cfRule>
    <cfRule type="expression" dxfId="2214" priority="304">
      <formula>Q17&gt;12</formula>
    </cfRule>
  </conditionalFormatting>
  <conditionalFormatting sqref="Q21">
    <cfRule type="cellIs" dxfId="2213" priority="296" operator="between">
      <formula>15%</formula>
      <formula>16.99%</formula>
    </cfRule>
    <cfRule type="cellIs" dxfId="2212" priority="297" operator="between">
      <formula>27.01%</formula>
      <formula>30%</formula>
    </cfRule>
    <cfRule type="expression" dxfId="2211" priority="298">
      <formula>Q21&lt;15%</formula>
    </cfRule>
    <cfRule type="expression" dxfId="2210" priority="299">
      <formula>Q21&gt;30%</formula>
    </cfRule>
  </conditionalFormatting>
  <conditionalFormatting sqref="Q22">
    <cfRule type="cellIs" dxfId="2209" priority="292" operator="between">
      <formula>5%</formula>
      <formula>6.99%</formula>
    </cfRule>
    <cfRule type="cellIs" dxfId="2208" priority="293" operator="between">
      <formula>12.99%</formula>
      <formula>15%</formula>
    </cfRule>
    <cfRule type="expression" dxfId="2207" priority="294">
      <formula>Q22&lt;5%</formula>
    </cfRule>
    <cfRule type="expression" dxfId="2206" priority="295">
      <formula>Q22&gt;15%</formula>
    </cfRule>
  </conditionalFormatting>
  <conditionalFormatting sqref="Q6 Q9">
    <cfRule type="cellIs" dxfId="2205" priority="288" operator="between">
      <formula>20</formula>
      <formula>24.99</formula>
    </cfRule>
    <cfRule type="cellIs" dxfId="2204" priority="289" operator="between">
      <formula>35.1</formula>
      <formula>40</formula>
    </cfRule>
    <cfRule type="expression" dxfId="2203" priority="290">
      <formula>Q6&lt;20</formula>
    </cfRule>
    <cfRule type="expression" dxfId="2202" priority="291">
      <formula>Q6&gt;40</formula>
    </cfRule>
  </conditionalFormatting>
  <conditionalFormatting sqref="Q12 Q14">
    <cfRule type="expression" dxfId="2201" priority="286" stopIfTrue="1">
      <formula>Q12&gt;80</formula>
    </cfRule>
    <cfRule type="expression" dxfId="2200" priority="287" stopIfTrue="1">
      <formula>Q12&lt;60</formula>
    </cfRule>
  </conditionalFormatting>
  <conditionalFormatting sqref="Q20">
    <cfRule type="cellIs" dxfId="2199" priority="282" operator="between">
      <formula>30%</formula>
      <formula>39.99%</formula>
    </cfRule>
    <cfRule type="cellIs" dxfId="2198" priority="283" operator="between">
      <formula>50.01%</formula>
      <formula>60%</formula>
    </cfRule>
    <cfRule type="expression" dxfId="2197" priority="284">
      <formula>Q20&lt;30%</formula>
    </cfRule>
    <cfRule type="expression" dxfId="2196" priority="285">
      <formula>Q20&gt;60%</formula>
    </cfRule>
  </conditionalFormatting>
  <conditionalFormatting sqref="Q18">
    <cfRule type="cellIs" dxfId="2195" priority="279" operator="between">
      <formula>16.1</formula>
      <formula>18</formula>
    </cfRule>
    <cfRule type="expression" dxfId="2194" priority="280">
      <formula>Q18&lt;12</formula>
    </cfRule>
    <cfRule type="expression" dxfId="2193" priority="281">
      <formula>Q18&gt;18</formula>
    </cfRule>
  </conditionalFormatting>
  <conditionalFormatting sqref="K32:L32">
    <cfRule type="cellIs" dxfId="2192" priority="271" operator="between">
      <formula>20</formula>
      <formula>25.9</formula>
    </cfRule>
    <cfRule type="cellIs" dxfId="2191" priority="272" operator="between">
      <formula>34.1</formula>
      <formula>35</formula>
    </cfRule>
    <cfRule type="expression" dxfId="2190" priority="273">
      <formula>K32&lt;20</formula>
    </cfRule>
    <cfRule type="expression" dxfId="2189" priority="274">
      <formula>K32&gt;35</formula>
    </cfRule>
  </conditionalFormatting>
  <conditionalFormatting sqref="K28:L29">
    <cfRule type="cellIs" dxfId="2188" priority="267" operator="between">
      <formula>50</formula>
      <formula>54.9</formula>
    </cfRule>
    <cfRule type="cellIs" dxfId="2187" priority="268" operator="between">
      <formula>65.1</formula>
      <formula>70</formula>
    </cfRule>
    <cfRule type="expression" dxfId="2186" priority="269">
      <formula>K28&lt;50</formula>
    </cfRule>
    <cfRule type="expression" dxfId="2185" priority="270">
      <formula>K28&gt;70</formula>
    </cfRule>
  </conditionalFormatting>
  <conditionalFormatting sqref="K33">
    <cfRule type="cellIs" dxfId="2184" priority="258" operator="between">
      <formula>30</formula>
      <formula>30.9</formula>
    </cfRule>
    <cfRule type="cellIs" dxfId="2183" priority="259" operator="between">
      <formula>37.1</formula>
      <formula>40</formula>
    </cfRule>
    <cfRule type="expression" dxfId="2182" priority="260">
      <formula>K33&lt;30</formula>
    </cfRule>
    <cfRule type="expression" dxfId="2181" priority="261">
      <formula>K33&gt;40</formula>
    </cfRule>
  </conditionalFormatting>
  <conditionalFormatting sqref="K35">
    <cfRule type="cellIs" dxfId="2180" priority="254" operator="between">
      <formula>80</formula>
      <formula>84.9</formula>
    </cfRule>
    <cfRule type="cellIs" dxfId="2179" priority="255" operator="between">
      <formula>95.1</formula>
      <formula>100</formula>
    </cfRule>
    <cfRule type="expression" dxfId="2178" priority="256">
      <formula>K35&lt;80</formula>
    </cfRule>
    <cfRule type="expression" dxfId="2177" priority="257">
      <formula>K35&gt;100</formula>
    </cfRule>
  </conditionalFormatting>
  <conditionalFormatting sqref="K34">
    <cfRule type="expression" dxfId="2176" priority="252">
      <formula>K34&lt;50</formula>
    </cfRule>
    <cfRule type="expression" dxfId="2175" priority="253">
      <formula>K34&gt;70</formula>
    </cfRule>
  </conditionalFormatting>
  <conditionalFormatting sqref="I32:J32">
    <cfRule type="cellIs" dxfId="2174" priority="248" operator="between">
      <formula>20</formula>
      <formula>25.9</formula>
    </cfRule>
    <cfRule type="cellIs" dxfId="2173" priority="249" operator="between">
      <formula>34.1</formula>
      <formula>35</formula>
    </cfRule>
    <cfRule type="expression" dxfId="2172" priority="250">
      <formula>I32&lt;20</formula>
    </cfRule>
    <cfRule type="expression" dxfId="2171" priority="251">
      <formula>I32&gt;35</formula>
    </cfRule>
  </conditionalFormatting>
  <conditionalFormatting sqref="I28:J29">
    <cfRule type="cellIs" dxfId="2170" priority="244" operator="between">
      <formula>50</formula>
      <formula>54.9</formula>
    </cfRule>
    <cfRule type="cellIs" dxfId="2169" priority="245" operator="between">
      <formula>65.1</formula>
      <formula>70</formula>
    </cfRule>
    <cfRule type="expression" dxfId="2168" priority="246">
      <formula>I28&lt;50</formula>
    </cfRule>
    <cfRule type="expression" dxfId="2167" priority="247">
      <formula>I28&gt;70</formula>
    </cfRule>
  </conditionalFormatting>
  <conditionalFormatting sqref="I33">
    <cfRule type="cellIs" dxfId="2166" priority="235" operator="between">
      <formula>30</formula>
      <formula>30.9</formula>
    </cfRule>
    <cfRule type="cellIs" dxfId="2165" priority="236" operator="between">
      <formula>37.1</formula>
      <formula>40</formula>
    </cfRule>
    <cfRule type="expression" dxfId="2164" priority="237">
      <formula>I33&lt;30</formula>
    </cfRule>
    <cfRule type="expression" dxfId="2163" priority="238">
      <formula>I33&gt;40</formula>
    </cfRule>
  </conditionalFormatting>
  <conditionalFormatting sqref="I34">
    <cfRule type="expression" dxfId="2162" priority="233">
      <formula>I34&lt;50</formula>
    </cfRule>
    <cfRule type="expression" dxfId="2161" priority="234">
      <formula>I34&gt;70</formula>
    </cfRule>
  </conditionalFormatting>
  <conditionalFormatting sqref="O32:P32">
    <cfRule type="cellIs" dxfId="2160" priority="229" operator="between">
      <formula>20</formula>
      <formula>25.9</formula>
    </cfRule>
    <cfRule type="cellIs" dxfId="2159" priority="230" operator="between">
      <formula>34.1</formula>
      <formula>35</formula>
    </cfRule>
    <cfRule type="expression" dxfId="2158" priority="231">
      <formula>O32&lt;20</formula>
    </cfRule>
    <cfRule type="expression" dxfId="2157" priority="232">
      <formula>O32&gt;35</formula>
    </cfRule>
  </conditionalFormatting>
  <conditionalFormatting sqref="O28:P29">
    <cfRule type="cellIs" dxfId="2156" priority="225" operator="between">
      <formula>50</formula>
      <formula>54.9</formula>
    </cfRule>
    <cfRule type="cellIs" dxfId="2155" priority="226" operator="between">
      <formula>65.1</formula>
      <formula>70</formula>
    </cfRule>
    <cfRule type="expression" dxfId="2154" priority="227">
      <formula>O28&lt;50</formula>
    </cfRule>
    <cfRule type="expression" dxfId="2153" priority="228">
      <formula>O28&gt;70</formula>
    </cfRule>
  </conditionalFormatting>
  <conditionalFormatting sqref="O33">
    <cfRule type="cellIs" dxfId="2152" priority="216" operator="between">
      <formula>30</formula>
      <formula>30.9</formula>
    </cfRule>
    <cfRule type="cellIs" dxfId="2151" priority="217" operator="between">
      <formula>37.1</formula>
      <formula>40</formula>
    </cfRule>
    <cfRule type="expression" dxfId="2150" priority="218">
      <formula>O33&lt;30</formula>
    </cfRule>
    <cfRule type="expression" dxfId="2149" priority="219">
      <formula>O33&gt;40</formula>
    </cfRule>
  </conditionalFormatting>
  <conditionalFormatting sqref="O35">
    <cfRule type="cellIs" dxfId="2148" priority="212" operator="between">
      <formula>80</formula>
      <formula>84.9</formula>
    </cfRule>
    <cfRule type="cellIs" dxfId="2147" priority="213" operator="between">
      <formula>95.1</formula>
      <formula>100</formula>
    </cfRule>
    <cfRule type="expression" dxfId="2146" priority="214">
      <formula>O35&lt;80</formula>
    </cfRule>
    <cfRule type="expression" dxfId="2145" priority="215">
      <formula>O35&gt;100</formula>
    </cfRule>
  </conditionalFormatting>
  <conditionalFormatting sqref="O34">
    <cfRule type="expression" dxfId="2144" priority="210">
      <formula>O34&lt;50</formula>
    </cfRule>
    <cfRule type="expression" dxfId="2143" priority="211">
      <formula>O34&gt;70</formula>
    </cfRule>
  </conditionalFormatting>
  <conditionalFormatting sqref="M32:N32">
    <cfRule type="cellIs" dxfId="2142" priority="206" operator="between">
      <formula>20</formula>
      <formula>25.9</formula>
    </cfRule>
    <cfRule type="cellIs" dxfId="2141" priority="207" operator="between">
      <formula>34.1</formula>
      <formula>35</formula>
    </cfRule>
    <cfRule type="expression" dxfId="2140" priority="208">
      <formula>M32&lt;20</formula>
    </cfRule>
    <cfRule type="expression" dxfId="2139" priority="209">
      <formula>M32&gt;35</formula>
    </cfRule>
  </conditionalFormatting>
  <conditionalFormatting sqref="M28:N29">
    <cfRule type="cellIs" dxfId="2138" priority="202" operator="between">
      <formula>50</formula>
      <formula>54.9</formula>
    </cfRule>
    <cfRule type="cellIs" dxfId="2137" priority="203" operator="between">
      <formula>65.1</formula>
      <formula>70</formula>
    </cfRule>
    <cfRule type="expression" dxfId="2136" priority="204">
      <formula>M28&lt;50</formula>
    </cfRule>
    <cfRule type="expression" dxfId="2135" priority="205">
      <formula>M28&gt;70</formula>
    </cfRule>
  </conditionalFormatting>
  <conditionalFormatting sqref="M33">
    <cfRule type="cellIs" dxfId="2134" priority="193" operator="between">
      <formula>30</formula>
      <formula>30.9</formula>
    </cfRule>
    <cfRule type="cellIs" dxfId="2133" priority="194" operator="between">
      <formula>37.1</formula>
      <formula>40</formula>
    </cfRule>
    <cfRule type="expression" dxfId="2132" priority="195">
      <formula>M33&lt;30</formula>
    </cfRule>
    <cfRule type="expression" dxfId="2131" priority="196">
      <formula>M33&gt;40</formula>
    </cfRule>
  </conditionalFormatting>
  <conditionalFormatting sqref="M34">
    <cfRule type="expression" dxfId="2130" priority="191">
      <formula>M34&lt;50</formula>
    </cfRule>
    <cfRule type="expression" dxfId="2129" priority="192">
      <formula>M34&gt;70</formula>
    </cfRule>
  </conditionalFormatting>
  <conditionalFormatting sqref="S32:T32">
    <cfRule type="cellIs" dxfId="2128" priority="187" operator="between">
      <formula>20</formula>
      <formula>25.9</formula>
    </cfRule>
    <cfRule type="cellIs" dxfId="2127" priority="188" operator="between">
      <formula>34.1</formula>
      <formula>35</formula>
    </cfRule>
    <cfRule type="expression" dxfId="2126" priority="189">
      <formula>S32&lt;20</formula>
    </cfRule>
    <cfRule type="expression" dxfId="2125" priority="190">
      <formula>S32&gt;35</formula>
    </cfRule>
  </conditionalFormatting>
  <conditionalFormatting sqref="S28:T29">
    <cfRule type="cellIs" dxfId="2124" priority="183" operator="between">
      <formula>50</formula>
      <formula>54.9</formula>
    </cfRule>
    <cfRule type="cellIs" dxfId="2123" priority="184" operator="between">
      <formula>65.1</formula>
      <formula>70</formula>
    </cfRule>
    <cfRule type="expression" dxfId="2122" priority="185">
      <formula>S28&lt;50</formula>
    </cfRule>
    <cfRule type="expression" dxfId="2121" priority="186">
      <formula>S28&gt;70</formula>
    </cfRule>
  </conditionalFormatting>
  <conditionalFormatting sqref="S33">
    <cfRule type="cellIs" dxfId="2120" priority="174" operator="between">
      <formula>30</formula>
      <formula>30.9</formula>
    </cfRule>
    <cfRule type="cellIs" dxfId="2119" priority="175" operator="between">
      <formula>37.1</formula>
      <formula>40</formula>
    </cfRule>
    <cfRule type="expression" dxfId="2118" priority="176">
      <formula>S33&lt;30</formula>
    </cfRule>
    <cfRule type="expression" dxfId="2117" priority="177">
      <formula>S33&gt;40</formula>
    </cfRule>
  </conditionalFormatting>
  <conditionalFormatting sqref="S35">
    <cfRule type="cellIs" dxfId="2116" priority="170" operator="between">
      <formula>80</formula>
      <formula>84.9</formula>
    </cfRule>
    <cfRule type="cellIs" dxfId="2115" priority="171" operator="between">
      <formula>95.1</formula>
      <formula>100</formula>
    </cfRule>
    <cfRule type="expression" dxfId="2114" priority="172">
      <formula>S35&lt;80</formula>
    </cfRule>
    <cfRule type="expression" dxfId="2113" priority="173">
      <formula>S35&gt;100</formula>
    </cfRule>
  </conditionalFormatting>
  <conditionalFormatting sqref="S34">
    <cfRule type="expression" dxfId="2112" priority="168">
      <formula>S34&lt;50</formula>
    </cfRule>
    <cfRule type="expression" dxfId="2111" priority="169">
      <formula>S34&gt;70</formula>
    </cfRule>
  </conditionalFormatting>
  <conditionalFormatting sqref="Q32:R32">
    <cfRule type="cellIs" dxfId="2110" priority="164" operator="between">
      <formula>20</formula>
      <formula>25.9</formula>
    </cfRule>
    <cfRule type="cellIs" dxfId="2109" priority="165" operator="between">
      <formula>34.1</formula>
      <formula>35</formula>
    </cfRule>
    <cfRule type="expression" dxfId="2108" priority="166">
      <formula>Q32&lt;20</formula>
    </cfRule>
    <cfRule type="expression" dxfId="2107" priority="167">
      <formula>Q32&gt;35</formula>
    </cfRule>
  </conditionalFormatting>
  <conditionalFormatting sqref="Q28:R29">
    <cfRule type="cellIs" dxfId="2106" priority="160" operator="between">
      <formula>50</formula>
      <formula>54.9</formula>
    </cfRule>
    <cfRule type="cellIs" dxfId="2105" priority="161" operator="between">
      <formula>65.1</formula>
      <formula>70</formula>
    </cfRule>
    <cfRule type="expression" dxfId="2104" priority="162">
      <formula>Q28&lt;50</formula>
    </cfRule>
    <cfRule type="expression" dxfId="2103" priority="163">
      <formula>Q28&gt;70</formula>
    </cfRule>
  </conditionalFormatting>
  <conditionalFormatting sqref="Q33">
    <cfRule type="cellIs" dxfId="2102" priority="151" operator="between">
      <formula>30</formula>
      <formula>30.9</formula>
    </cfRule>
    <cfRule type="cellIs" dxfId="2101" priority="152" operator="between">
      <formula>37.1</formula>
      <formula>40</formula>
    </cfRule>
    <cfRule type="expression" dxfId="2100" priority="153">
      <formula>Q33&lt;30</formula>
    </cfRule>
    <cfRule type="expression" dxfId="2099" priority="154">
      <formula>Q33&gt;40</formula>
    </cfRule>
  </conditionalFormatting>
  <conditionalFormatting sqref="Q34">
    <cfRule type="expression" dxfId="2098" priority="149">
      <formula>Q34&lt;50</formula>
    </cfRule>
    <cfRule type="expression" dxfId="2097" priority="150">
      <formula>Q34&gt;70</formula>
    </cfRule>
  </conditionalFormatting>
  <conditionalFormatting sqref="I24">
    <cfRule type="cellIs" dxfId="2096" priority="121" operator="between">
      <formula>5</formula>
      <formula>6.49</formula>
    </cfRule>
    <cfRule type="cellIs" dxfId="2095" priority="122" operator="between">
      <formula>8.51</formula>
      <formula>10</formula>
    </cfRule>
    <cfRule type="expression" dxfId="2094" priority="123">
      <formula>I24&lt;5</formula>
    </cfRule>
    <cfRule type="expression" dxfId="2093" priority="124">
      <formula>I24&gt;10</formula>
    </cfRule>
  </conditionalFormatting>
  <conditionalFormatting sqref="M24">
    <cfRule type="cellIs" dxfId="2092" priority="113" operator="between">
      <formula>5</formula>
      <formula>6.49</formula>
    </cfRule>
    <cfRule type="cellIs" dxfId="2091" priority="114" operator="between">
      <formula>8.51</formula>
      <formula>10</formula>
    </cfRule>
    <cfRule type="expression" dxfId="2090" priority="115">
      <formula>M24&lt;5</formula>
    </cfRule>
    <cfRule type="expression" dxfId="2089" priority="116">
      <formula>M24&gt;10</formula>
    </cfRule>
  </conditionalFormatting>
  <conditionalFormatting sqref="Q24">
    <cfRule type="cellIs" dxfId="2088" priority="105" operator="between">
      <formula>5</formula>
      <formula>6.49</formula>
    </cfRule>
    <cfRule type="cellIs" dxfId="2087" priority="106" operator="between">
      <formula>8.51</formula>
      <formula>10</formula>
    </cfRule>
    <cfRule type="expression" dxfId="2086" priority="107">
      <formula>Q24&lt;5</formula>
    </cfRule>
    <cfRule type="expression" dxfId="2085" priority="108">
      <formula>Q24&gt;10</formula>
    </cfRule>
  </conditionalFormatting>
  <conditionalFormatting sqref="I30">
    <cfRule type="cellIs" dxfId="2084" priority="97" operator="between">
      <formula>40</formula>
      <formula>44.99</formula>
    </cfRule>
    <cfRule type="cellIs" dxfId="2083" priority="98" operator="between">
      <formula>55.1</formula>
      <formula>60</formula>
    </cfRule>
    <cfRule type="expression" dxfId="2082" priority="99">
      <formula>I30&lt;40</formula>
    </cfRule>
    <cfRule type="expression" dxfId="2081" priority="100">
      <formula>I30&gt;60</formula>
    </cfRule>
  </conditionalFormatting>
  <conditionalFormatting sqref="I31">
    <cfRule type="cellIs" dxfId="2080" priority="93" operator="between">
      <formula>40</formula>
      <formula>44.99</formula>
    </cfRule>
    <cfRule type="cellIs" dxfId="2079" priority="94" operator="between">
      <formula>55.1</formula>
      <formula>60</formula>
    </cfRule>
    <cfRule type="expression" dxfId="2078" priority="95">
      <formula>I31&lt;40</formula>
    </cfRule>
    <cfRule type="expression" dxfId="2077" priority="96">
      <formula>I31&gt;60</formula>
    </cfRule>
  </conditionalFormatting>
  <conditionalFormatting sqref="K30">
    <cfRule type="cellIs" dxfId="2076" priority="89" operator="between">
      <formula>40</formula>
      <formula>44.99</formula>
    </cfRule>
    <cfRule type="cellIs" dxfId="2075" priority="90" operator="between">
      <formula>55.1</formula>
      <formula>60</formula>
    </cfRule>
    <cfRule type="expression" dxfId="2074" priority="91">
      <formula>K30&lt;40</formula>
    </cfRule>
    <cfRule type="expression" dxfId="2073" priority="92">
      <formula>K30&gt;60</formula>
    </cfRule>
  </conditionalFormatting>
  <conditionalFormatting sqref="K31">
    <cfRule type="cellIs" dxfId="2072" priority="85" operator="between">
      <formula>40</formula>
      <formula>44.99</formula>
    </cfRule>
    <cfRule type="cellIs" dxfId="2071" priority="86" operator="between">
      <formula>55.1</formula>
      <formula>60</formula>
    </cfRule>
    <cfRule type="expression" dxfId="2070" priority="87">
      <formula>K31&lt;40</formula>
    </cfRule>
    <cfRule type="expression" dxfId="2069" priority="88">
      <formula>K31&gt;60</formula>
    </cfRule>
  </conditionalFormatting>
  <conditionalFormatting sqref="M30">
    <cfRule type="cellIs" dxfId="2068" priority="81" operator="between">
      <formula>40</formula>
      <formula>44.99</formula>
    </cfRule>
    <cfRule type="cellIs" dxfId="2067" priority="82" operator="between">
      <formula>55.1</formula>
      <formula>60</formula>
    </cfRule>
    <cfRule type="expression" dxfId="2066" priority="83">
      <formula>M30&lt;40</formula>
    </cfRule>
    <cfRule type="expression" dxfId="2065" priority="84">
      <formula>M30&gt;60</formula>
    </cfRule>
  </conditionalFormatting>
  <conditionalFormatting sqref="M31">
    <cfRule type="cellIs" dxfId="2064" priority="77" operator="between">
      <formula>40</formula>
      <formula>44.99</formula>
    </cfRule>
    <cfRule type="cellIs" dxfId="2063" priority="78" operator="between">
      <formula>55.1</formula>
      <formula>60</formula>
    </cfRule>
    <cfRule type="expression" dxfId="2062" priority="79">
      <formula>M31&lt;40</formula>
    </cfRule>
    <cfRule type="expression" dxfId="2061" priority="80">
      <formula>M31&gt;60</formula>
    </cfRule>
  </conditionalFormatting>
  <conditionalFormatting sqref="O30">
    <cfRule type="cellIs" dxfId="2060" priority="73" operator="between">
      <formula>40</formula>
      <formula>44.99</formula>
    </cfRule>
    <cfRule type="cellIs" dxfId="2059" priority="74" operator="between">
      <formula>55.1</formula>
      <formula>60</formula>
    </cfRule>
    <cfRule type="expression" dxfId="2058" priority="75">
      <formula>O30&lt;40</formula>
    </cfRule>
    <cfRule type="expression" dxfId="2057" priority="76">
      <formula>O30&gt;60</formula>
    </cfRule>
  </conditionalFormatting>
  <conditionalFormatting sqref="O31">
    <cfRule type="cellIs" dxfId="2056" priority="69" operator="between">
      <formula>40</formula>
      <formula>44.99</formula>
    </cfRule>
    <cfRule type="cellIs" dxfId="2055" priority="70" operator="between">
      <formula>55.1</formula>
      <formula>60</formula>
    </cfRule>
    <cfRule type="expression" dxfId="2054" priority="71">
      <formula>O31&lt;40</formula>
    </cfRule>
    <cfRule type="expression" dxfId="2053" priority="72">
      <formula>O31&gt;60</formula>
    </cfRule>
  </conditionalFormatting>
  <conditionalFormatting sqref="Q30">
    <cfRule type="cellIs" dxfId="2052" priority="65" operator="between">
      <formula>40</formula>
      <formula>44.99</formula>
    </cfRule>
    <cfRule type="cellIs" dxfId="2051" priority="66" operator="between">
      <formula>55.1</formula>
      <formula>60</formula>
    </cfRule>
    <cfRule type="expression" dxfId="2050" priority="67">
      <formula>Q30&lt;40</formula>
    </cfRule>
    <cfRule type="expression" dxfId="2049" priority="68">
      <formula>Q30&gt;60</formula>
    </cfRule>
  </conditionalFormatting>
  <conditionalFormatting sqref="Q31">
    <cfRule type="cellIs" dxfId="2048" priority="61" operator="between">
      <formula>40</formula>
      <formula>44.99</formula>
    </cfRule>
    <cfRule type="cellIs" dxfId="2047" priority="62" operator="between">
      <formula>55.1</formula>
      <formula>60</formula>
    </cfRule>
    <cfRule type="expression" dxfId="2046" priority="63">
      <formula>Q31&lt;40</formula>
    </cfRule>
    <cfRule type="expression" dxfId="2045" priority="64">
      <formula>Q31&gt;60</formula>
    </cfRule>
  </conditionalFormatting>
  <conditionalFormatting sqref="S30">
    <cfRule type="cellIs" dxfId="2044" priority="57" operator="between">
      <formula>40</formula>
      <formula>44.99</formula>
    </cfRule>
    <cfRule type="cellIs" dxfId="2043" priority="58" operator="between">
      <formula>55.1</formula>
      <formula>60</formula>
    </cfRule>
    <cfRule type="expression" dxfId="2042" priority="59">
      <formula>S30&lt;40</formula>
    </cfRule>
    <cfRule type="expression" dxfId="2041" priority="60">
      <formula>S30&gt;60</formula>
    </cfRule>
  </conditionalFormatting>
  <conditionalFormatting sqref="S31">
    <cfRule type="cellIs" dxfId="2040" priority="53" operator="between">
      <formula>40</formula>
      <formula>44.99</formula>
    </cfRule>
    <cfRule type="cellIs" dxfId="2039" priority="54" operator="between">
      <formula>55.1</formula>
      <formula>60</formula>
    </cfRule>
    <cfRule type="expression" dxfId="2038" priority="55">
      <formula>S31&lt;40</formula>
    </cfRule>
    <cfRule type="expression" dxfId="2037" priority="56">
      <formula>S31&gt;60</formula>
    </cfRule>
  </conditionalFormatting>
  <conditionalFormatting sqref="I25">
    <cfRule type="cellIs" dxfId="2036" priority="37" operator="between">
      <formula>2</formula>
      <formula>2.099</formula>
    </cfRule>
    <cfRule type="cellIs" dxfId="2035" priority="38" operator="between">
      <formula>2.31</formula>
      <formula>2.4</formula>
    </cfRule>
    <cfRule type="expression" dxfId="2034" priority="39">
      <formula>I25&lt;2</formula>
    </cfRule>
    <cfRule type="expression" dxfId="2033" priority="40">
      <formula>I25&gt;2.4</formula>
    </cfRule>
  </conditionalFormatting>
  <conditionalFormatting sqref="M25">
    <cfRule type="cellIs" dxfId="2032" priority="33" operator="between">
      <formula>2</formula>
      <formula>2.099</formula>
    </cfRule>
    <cfRule type="cellIs" dxfId="2031" priority="34" operator="between">
      <formula>2.31</formula>
      <formula>2.4</formula>
    </cfRule>
    <cfRule type="expression" dxfId="2030" priority="35">
      <formula>M25&lt;2</formula>
    </cfRule>
    <cfRule type="expression" dxfId="2029" priority="36">
      <formula>M25&gt;2.4</formula>
    </cfRule>
  </conditionalFormatting>
  <conditionalFormatting sqref="Q25">
    <cfRule type="cellIs" dxfId="2028" priority="29" operator="between">
      <formula>2</formula>
      <formula>2.099</formula>
    </cfRule>
    <cfRule type="cellIs" dxfId="2027" priority="30" operator="between">
      <formula>2.31</formula>
      <formula>2.4</formula>
    </cfRule>
    <cfRule type="expression" dxfId="2026" priority="31">
      <formula>Q25&lt;2</formula>
    </cfRule>
    <cfRule type="expression" dxfId="2025" priority="32">
      <formula>Q25&gt;2.4</formula>
    </cfRule>
  </conditionalFormatting>
  <conditionalFormatting sqref="I19">
    <cfRule type="cellIs" dxfId="2024" priority="25" operator="between">
      <formula>1.5</formula>
      <formula>1.599</formula>
    </cfRule>
    <cfRule type="cellIs" dxfId="2023" priority="26" operator="between">
      <formula>1.811</formula>
      <formula>1.9</formula>
    </cfRule>
    <cfRule type="expression" dxfId="2022" priority="27">
      <formula>I19&lt;1.5</formula>
    </cfRule>
    <cfRule type="expression" dxfId="2021" priority="28">
      <formula>I19&gt;1.9</formula>
    </cfRule>
  </conditionalFormatting>
  <conditionalFormatting sqref="M19">
    <cfRule type="cellIs" dxfId="2020" priority="21" operator="between">
      <formula>1.5</formula>
      <formula>1.599</formula>
    </cfRule>
    <cfRule type="cellIs" dxfId="2019" priority="22" operator="between">
      <formula>1.811</formula>
      <formula>1.9</formula>
    </cfRule>
    <cfRule type="expression" dxfId="2018" priority="23">
      <formula>M19&lt;1.5</formula>
    </cfRule>
    <cfRule type="expression" dxfId="2017" priority="24">
      <formula>M19&gt;1.9</formula>
    </cfRule>
  </conditionalFormatting>
  <conditionalFormatting sqref="Q19">
    <cfRule type="cellIs" dxfId="2016" priority="17" operator="between">
      <formula>1.5</formula>
      <formula>1.599</formula>
    </cfRule>
    <cfRule type="cellIs" dxfId="2015" priority="18" operator="between">
      <formula>1.811</formula>
      <formula>1.9</formula>
    </cfRule>
    <cfRule type="expression" dxfId="2014" priority="19">
      <formula>Q19&lt;1.5</formula>
    </cfRule>
    <cfRule type="expression" dxfId="2013" priority="20">
      <formula>Q19&gt;1.9</formula>
    </cfRule>
  </conditionalFormatting>
  <conditionalFormatting sqref="I23">
    <cfRule type="cellIs" dxfId="2012" priority="13" operator="between">
      <formula>0.5%</formula>
      <formula>0.599%</formula>
    </cfRule>
    <cfRule type="cellIs" dxfId="2011" priority="14" operator="between">
      <formula>0.81%</formula>
      <formula>1%</formula>
    </cfRule>
    <cfRule type="expression" dxfId="2010" priority="15">
      <formula>I23&lt;0.5%</formula>
    </cfRule>
    <cfRule type="expression" dxfId="2009" priority="16">
      <formula>I23&gt;1%</formula>
    </cfRule>
  </conditionalFormatting>
  <conditionalFormatting sqref="M23">
    <cfRule type="cellIs" dxfId="2008" priority="9" operator="between">
      <formula>0.5%</formula>
      <formula>0.599%</formula>
    </cfRule>
    <cfRule type="cellIs" dxfId="2007" priority="10" operator="between">
      <formula>0.81%</formula>
      <formula>1%</formula>
    </cfRule>
    <cfRule type="expression" dxfId="2006" priority="11">
      <formula>M23&lt;0.5%</formula>
    </cfRule>
    <cfRule type="expression" dxfId="2005" priority="12">
      <formula>M23&gt;1%</formula>
    </cfRule>
  </conditionalFormatting>
  <conditionalFormatting sqref="Q23">
    <cfRule type="cellIs" dxfId="2004" priority="5" operator="between">
      <formula>0.5%</formula>
      <formula>0.599%</formula>
    </cfRule>
    <cfRule type="cellIs" dxfId="2003" priority="6" operator="between">
      <formula>0.81%</formula>
      <formula>1%</formula>
    </cfRule>
    <cfRule type="expression" dxfId="2002" priority="7">
      <formula>Q23&lt;0.5%</formula>
    </cfRule>
    <cfRule type="expression" dxfId="2001" priority="8">
      <formula>Q23&gt;1%</formula>
    </cfRule>
  </conditionalFormatting>
  <conditionalFormatting sqref="Q25">
    <cfRule type="cellIs" dxfId="2000" priority="1" operator="between">
      <formula>5</formula>
      <formula>6.49</formula>
    </cfRule>
    <cfRule type="cellIs" dxfId="1999" priority="2" operator="between">
      <formula>8.51</formula>
      <formula>10</formula>
    </cfRule>
    <cfRule type="expression" dxfId="1998" priority="3">
      <formula>Q25&lt;5</formula>
    </cfRule>
    <cfRule type="expression" dxfId="1997" priority="4">
      <formula>Q25&gt;10</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3.xml><?xml version="1.0" encoding="utf-8"?>
<worksheet xmlns="http://schemas.openxmlformats.org/spreadsheetml/2006/main" xmlns:r="http://schemas.openxmlformats.org/officeDocument/2006/relationships">
  <sheetPr>
    <tabColor theme="5" tint="0.39997558519241921"/>
  </sheetPr>
  <dimension ref="A1:AM37"/>
  <sheetViews>
    <sheetView zoomScale="55" zoomScaleNormal="55" zoomScaleSheetLayoutView="70" workbookViewId="0">
      <selection activeCell="V25" sqref="V25"/>
    </sheetView>
  </sheetViews>
  <sheetFormatPr defaultRowHeight="15"/>
  <cols>
    <col min="1" max="1" width="4.125" style="19" customWidth="1"/>
    <col min="2" max="2" width="7.5" style="31" customWidth="1"/>
    <col min="3" max="3" width="5.625" style="31" customWidth="1"/>
    <col min="4" max="4" width="2.875" style="31" customWidth="1"/>
    <col min="5" max="5" width="9.5" style="31" customWidth="1"/>
    <col min="6" max="6" width="8" style="19" customWidth="1"/>
    <col min="7" max="7" width="15.75" style="32" customWidth="1"/>
    <col min="8" max="8" width="12.25" style="32"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406" t="s">
        <v>564</v>
      </c>
      <c r="B1" s="3406"/>
      <c r="C1" s="3406"/>
      <c r="D1" s="3406"/>
      <c r="E1" s="3406"/>
      <c r="F1" s="3406"/>
      <c r="G1" s="3406"/>
      <c r="H1" s="3406"/>
      <c r="I1" s="3406"/>
      <c r="J1" s="3406"/>
      <c r="K1" s="3406"/>
      <c r="L1" s="3406"/>
      <c r="M1" s="3406"/>
      <c r="N1" s="3406"/>
      <c r="O1" s="3406"/>
      <c r="P1" s="3406"/>
      <c r="Q1" s="3406"/>
      <c r="R1" s="3406"/>
      <c r="S1" s="1009"/>
      <c r="T1" s="1009"/>
      <c r="U1" s="1450" t="s">
        <v>1346</v>
      </c>
      <c r="W1" s="1453"/>
      <c r="X1" s="1453"/>
      <c r="Y1" s="1453"/>
      <c r="Z1" s="1453"/>
      <c r="AA1" s="1453"/>
      <c r="AB1" s="1453"/>
      <c r="AC1" s="1453"/>
      <c r="AD1" s="1453"/>
      <c r="AE1" s="1454"/>
      <c r="AM1" s="1454" t="s">
        <v>1347</v>
      </c>
    </row>
    <row r="2" spans="1:39" ht="46.5" customHeight="1">
      <c r="A2" s="3389" t="s">
        <v>217</v>
      </c>
      <c r="B2" s="3389"/>
      <c r="C2" s="3389"/>
      <c r="D2" s="3389"/>
      <c r="E2" s="3389"/>
      <c r="F2" s="3389"/>
      <c r="G2" s="3389"/>
      <c r="H2" s="3389"/>
      <c r="I2" s="3389"/>
      <c r="J2" s="3389"/>
      <c r="K2" s="3389"/>
      <c r="L2" s="3389"/>
      <c r="M2" s="3389"/>
      <c r="N2" s="3389"/>
      <c r="O2" s="3389"/>
      <c r="P2" s="3389"/>
      <c r="Q2" s="3389"/>
      <c r="R2" s="3390"/>
      <c r="S2" s="3366" t="s">
        <v>87</v>
      </c>
      <c r="T2" s="3200"/>
      <c r="U2" s="1443" t="s">
        <v>1341</v>
      </c>
      <c r="W2" s="3389"/>
      <c r="X2" s="3389"/>
      <c r="Y2" s="3389"/>
      <c r="Z2" s="3389"/>
      <c r="AA2" s="3389"/>
      <c r="AB2" s="3389"/>
      <c r="AC2" s="3389"/>
      <c r="AD2" s="3389"/>
      <c r="AE2" s="3389"/>
      <c r="AF2" s="1592"/>
      <c r="AG2" s="1783"/>
      <c r="AH2" s="1783"/>
    </row>
    <row r="3" spans="1:39" ht="31.5" customHeight="1">
      <c r="A3" s="50"/>
      <c r="B3" s="3413" t="s">
        <v>213</v>
      </c>
      <c r="C3" s="3413"/>
      <c r="D3" s="3413"/>
      <c r="E3" s="1396"/>
      <c r="F3" s="2681" t="s">
        <v>1595</v>
      </c>
      <c r="G3" s="1812" t="str">
        <f>MENU!$AC$9</f>
        <v>Thứ 5,</v>
      </c>
      <c r="H3" s="3400" t="str">
        <f>MENU!$AD$9</f>
        <v>2024/08/01</v>
      </c>
      <c r="I3" s="3400"/>
      <c r="J3" s="25"/>
      <c r="K3" s="25"/>
      <c r="L3" s="25"/>
      <c r="M3" s="25"/>
      <c r="N3" s="25"/>
      <c r="O3" s="25"/>
      <c r="P3" s="25"/>
      <c r="Q3" s="25"/>
      <c r="R3" s="48"/>
      <c r="S3" s="3414" t="str">
        <f>MENU!AE7</f>
        <v>Trang</v>
      </c>
      <c r="T3" s="3415"/>
      <c r="U3" s="1428"/>
      <c r="W3" s="50"/>
      <c r="X3" s="3413" t="s">
        <v>213</v>
      </c>
      <c r="Y3" s="3413"/>
      <c r="Z3" s="3413"/>
      <c r="AA3" s="1396"/>
      <c r="AB3" s="1812" t="str">
        <f>MENU!$AC$9</f>
        <v>Thứ 5,</v>
      </c>
      <c r="AC3" s="3400" t="str">
        <f>MENU!$AD$9</f>
        <v>2024/08/01</v>
      </c>
      <c r="AD3" s="3400"/>
      <c r="AE3" s="25"/>
      <c r="AF3" s="25"/>
      <c r="AG3" s="451"/>
      <c r="AH3" s="451"/>
    </row>
    <row r="4" spans="1:39" s="51" customFormat="1" ht="35.25" customHeight="1">
      <c r="A4" s="3396" t="s">
        <v>7</v>
      </c>
      <c r="B4" s="3143" t="s">
        <v>75</v>
      </c>
      <c r="C4" s="3144"/>
      <c r="D4" s="3144"/>
      <c r="E4" s="3145"/>
      <c r="F4" s="3395" t="s">
        <v>123</v>
      </c>
      <c r="G4" s="3180" t="s">
        <v>1296</v>
      </c>
      <c r="H4" s="3185" t="s">
        <v>1289</v>
      </c>
      <c r="I4" s="3201">
        <v>0.80208333333333337</v>
      </c>
      <c r="J4" s="3199"/>
      <c r="K4" s="3199"/>
      <c r="L4" s="3200"/>
      <c r="M4" s="3198">
        <v>0.96875</v>
      </c>
      <c r="N4" s="3199"/>
      <c r="O4" s="3199"/>
      <c r="P4" s="3200"/>
      <c r="Q4" s="3198">
        <v>0.13541666666666666</v>
      </c>
      <c r="R4" s="3199"/>
      <c r="S4" s="3199"/>
      <c r="T4" s="3200"/>
      <c r="U4" s="3216" t="s">
        <v>89</v>
      </c>
      <c r="W4" s="3396" t="s">
        <v>7</v>
      </c>
      <c r="X4" s="3143" t="s">
        <v>75</v>
      </c>
      <c r="Y4" s="3144"/>
      <c r="Z4" s="3144"/>
      <c r="AA4" s="3145"/>
      <c r="AB4" s="3198">
        <v>0.80208333333333337</v>
      </c>
      <c r="AC4" s="3201"/>
      <c r="AD4" s="3201"/>
      <c r="AE4" s="3365"/>
      <c r="AF4" s="3198">
        <v>0.96875</v>
      </c>
      <c r="AG4" s="3201"/>
      <c r="AH4" s="3201"/>
      <c r="AI4" s="3365"/>
      <c r="AJ4" s="3198">
        <v>0.13541666666666666</v>
      </c>
      <c r="AK4" s="3201"/>
      <c r="AL4" s="3201"/>
      <c r="AM4" s="3365"/>
    </row>
    <row r="5" spans="1:39" s="51" customFormat="1" ht="30" customHeight="1">
      <c r="A5" s="3396"/>
      <c r="B5" s="3146"/>
      <c r="C5" s="3147"/>
      <c r="D5" s="3147"/>
      <c r="E5" s="3148"/>
      <c r="F5" s="3396"/>
      <c r="G5" s="3181"/>
      <c r="H5" s="3186"/>
      <c r="I5" s="2220" t="s">
        <v>128</v>
      </c>
      <c r="J5" s="3170" t="s">
        <v>1</v>
      </c>
      <c r="K5" s="3171"/>
      <c r="L5" s="3172"/>
      <c r="M5" s="52" t="s">
        <v>128</v>
      </c>
      <c r="N5" s="3170" t="s">
        <v>1</v>
      </c>
      <c r="O5" s="3171"/>
      <c r="P5" s="3172"/>
      <c r="Q5" s="52" t="s">
        <v>128</v>
      </c>
      <c r="R5" s="3170" t="s">
        <v>1</v>
      </c>
      <c r="S5" s="3171"/>
      <c r="T5" s="3172"/>
      <c r="U5" s="3217"/>
      <c r="W5" s="3396"/>
      <c r="X5" s="3146"/>
      <c r="Y5" s="3147"/>
      <c r="Z5" s="3147"/>
      <c r="AA5" s="3148"/>
      <c r="AB5" s="3256" t="s">
        <v>1433</v>
      </c>
      <c r="AC5" s="3368"/>
      <c r="AD5" s="3367" t="s">
        <v>1466</v>
      </c>
      <c r="AE5" s="3200"/>
      <c r="AF5" s="3256" t="s">
        <v>1433</v>
      </c>
      <c r="AG5" s="3368"/>
      <c r="AH5" s="3367" t="s">
        <v>1466</v>
      </c>
      <c r="AI5" s="3200"/>
      <c r="AJ5" s="3256" t="s">
        <v>1433</v>
      </c>
      <c r="AK5" s="3368"/>
      <c r="AL5" s="3367" t="s">
        <v>1466</v>
      </c>
      <c r="AM5" s="3200"/>
    </row>
    <row r="6" spans="1:39" ht="34.5" customHeight="1">
      <c r="A6" s="3374">
        <v>1</v>
      </c>
      <c r="B6" s="3143" t="s">
        <v>130</v>
      </c>
      <c r="C6" s="3379"/>
      <c r="D6" s="3384" t="s">
        <v>229</v>
      </c>
      <c r="E6" s="3385"/>
      <c r="F6" s="1427" t="s">
        <v>4</v>
      </c>
      <c r="G6" s="897" t="str">
        <f>'XM.GUI MAIL'!$E$43</f>
        <v>60~80</v>
      </c>
      <c r="H6" s="2202" t="str">
        <f>'XM.GUI MAIL'!$F$43</f>
        <v>(70±5)</v>
      </c>
      <c r="I6" s="2205">
        <f>'XM.GUI MAIL'!AD43</f>
        <v>65.549000000000007</v>
      </c>
      <c r="J6" s="1402" t="s">
        <v>8</v>
      </c>
      <c r="K6" s="1341">
        <f>'XM.GUI MAIL'!AG43</f>
        <v>11.986542999999982</v>
      </c>
      <c r="L6" s="1402" t="s">
        <v>9</v>
      </c>
      <c r="M6" s="1398">
        <f>'XM.GUI MAIL'!AK43</f>
        <v>66.197999999999993</v>
      </c>
      <c r="N6" s="1402" t="s">
        <v>8</v>
      </c>
      <c r="O6" s="1341">
        <f>'XM.GUI MAIL'!AN43</f>
        <v>10.238786000000019</v>
      </c>
      <c r="P6" s="1402" t="s">
        <v>9</v>
      </c>
      <c r="Q6" s="1398">
        <f>'XM.GUI MAIL'!AR43</f>
        <v>67.496000000000009</v>
      </c>
      <c r="R6" s="1402" t="s">
        <v>8</v>
      </c>
      <c r="S6" s="1341">
        <f>'XM.GUI MAIL'!AU43</f>
        <v>6.7432719999999744</v>
      </c>
      <c r="T6" s="56" t="s">
        <v>9</v>
      </c>
      <c r="U6" s="270" t="s">
        <v>12</v>
      </c>
      <c r="W6" s="3374">
        <v>1</v>
      </c>
      <c r="X6" s="3143" t="s">
        <v>130</v>
      </c>
      <c r="Y6" s="3379"/>
      <c r="Z6" s="3384" t="s">
        <v>229</v>
      </c>
      <c r="AA6" s="3385"/>
      <c r="AB6" s="2018" t="s">
        <v>1690</v>
      </c>
      <c r="AC6" s="1799" t="s">
        <v>9</v>
      </c>
      <c r="AD6" s="1791">
        <v>68.8</v>
      </c>
      <c r="AE6" s="1746" t="s">
        <v>4</v>
      </c>
      <c r="AF6" s="2018"/>
      <c r="AG6" s="1799" t="s">
        <v>9</v>
      </c>
      <c r="AH6" s="1791"/>
      <c r="AI6" s="1746" t="s">
        <v>4</v>
      </c>
      <c r="AJ6" s="2018"/>
      <c r="AK6" s="1799" t="s">
        <v>9</v>
      </c>
      <c r="AL6" s="1791"/>
      <c r="AM6" s="1746" t="s">
        <v>4</v>
      </c>
    </row>
    <row r="7" spans="1:39" ht="34.5" customHeight="1">
      <c r="A7" s="3409"/>
      <c r="B7" s="3380"/>
      <c r="C7" s="3381"/>
      <c r="D7" s="3384" t="s">
        <v>230</v>
      </c>
      <c r="E7" s="3385"/>
      <c r="F7" s="1010"/>
      <c r="G7" s="897" t="s">
        <v>1348</v>
      </c>
      <c r="H7" s="2202"/>
      <c r="I7" s="2191"/>
      <c r="J7" s="1402"/>
      <c r="K7" s="78">
        <f>K6/25*7.5</f>
        <v>3.5959628999999946</v>
      </c>
      <c r="L7" s="1402" t="s">
        <v>10</v>
      </c>
      <c r="M7" s="1676"/>
      <c r="N7" s="1402"/>
      <c r="O7" s="78">
        <f>O6/25*7.5</f>
        <v>3.0716358000000059</v>
      </c>
      <c r="P7" s="1402" t="s">
        <v>10</v>
      </c>
      <c r="Q7" s="1676"/>
      <c r="R7" s="1402"/>
      <c r="S7" s="78">
        <f>S6/25*7.5</f>
        <v>2.0229815999999921</v>
      </c>
      <c r="T7" s="56" t="s">
        <v>10</v>
      </c>
      <c r="U7" s="20"/>
      <c r="W7" s="3409"/>
      <c r="X7" s="3380"/>
      <c r="Y7" s="3381"/>
      <c r="Z7" s="3384" t="s">
        <v>230</v>
      </c>
      <c r="AA7" s="3385"/>
      <c r="AB7" s="2018"/>
      <c r="AC7" s="1799" t="s">
        <v>10</v>
      </c>
      <c r="AD7" s="1791"/>
      <c r="AE7" s="1800"/>
      <c r="AF7" s="2018"/>
      <c r="AG7" s="1799" t="s">
        <v>10</v>
      </c>
      <c r="AH7" s="1791"/>
      <c r="AI7" s="1800"/>
      <c r="AJ7" s="2018"/>
      <c r="AK7" s="1799" t="s">
        <v>10</v>
      </c>
      <c r="AL7" s="1791"/>
      <c r="AM7" s="1800"/>
    </row>
    <row r="8" spans="1:39" ht="34.5" customHeight="1">
      <c r="A8" s="3374">
        <v>2</v>
      </c>
      <c r="B8" s="3143" t="s">
        <v>131</v>
      </c>
      <c r="C8" s="3379"/>
      <c r="D8" s="3384" t="s">
        <v>229</v>
      </c>
      <c r="E8" s="3385"/>
      <c r="F8" s="1427" t="s">
        <v>4</v>
      </c>
      <c r="G8" s="897" t="str">
        <f>'XM.GUI MAIL'!$E$45</f>
        <v>60~80</v>
      </c>
      <c r="H8" s="2202" t="str">
        <f>'XM.GUI MAIL'!$F$45</f>
        <v>(70±5)</v>
      </c>
      <c r="I8" s="2205">
        <f>'XM.GUI MAIL'!AD45</f>
        <v>73.986000000000004</v>
      </c>
      <c r="J8" s="1402" t="s">
        <v>8</v>
      </c>
      <c r="K8" s="1341">
        <f>'XM.GUI MAIL'!AG45</f>
        <v>0</v>
      </c>
      <c r="L8" s="1402" t="s">
        <v>9</v>
      </c>
      <c r="M8" s="1398">
        <f>'XM.GUI MAIL'!AK45</f>
        <v>74.635000000000005</v>
      </c>
      <c r="N8" s="1402" t="s">
        <v>8</v>
      </c>
      <c r="O8" s="1341">
        <f>'XM.GUI MAIL'!AN45</f>
        <v>0</v>
      </c>
      <c r="P8" s="1402" t="s">
        <v>9</v>
      </c>
      <c r="Q8" s="1398">
        <f>'XM.GUI MAIL'!AR45</f>
        <v>74.635000000000005</v>
      </c>
      <c r="R8" s="1402" t="s">
        <v>8</v>
      </c>
      <c r="S8" s="1341">
        <f>'XM.GUI MAIL'!AU45</f>
        <v>0</v>
      </c>
      <c r="T8" s="56" t="s">
        <v>9</v>
      </c>
      <c r="U8" s="270" t="s">
        <v>12</v>
      </c>
      <c r="W8" s="3374">
        <v>2</v>
      </c>
      <c r="X8" s="3143" t="s">
        <v>131</v>
      </c>
      <c r="Y8" s="3379"/>
      <c r="Z8" s="3384" t="s">
        <v>229</v>
      </c>
      <c r="AA8" s="3385"/>
      <c r="AB8" s="2018"/>
      <c r="AC8" s="1799" t="s">
        <v>9</v>
      </c>
      <c r="AD8" s="1791"/>
      <c r="AE8" s="1746" t="s">
        <v>4</v>
      </c>
      <c r="AF8" s="2018"/>
      <c r="AG8" s="1799" t="s">
        <v>9</v>
      </c>
      <c r="AH8" s="1791"/>
      <c r="AI8" s="1746" t="s">
        <v>4</v>
      </c>
      <c r="AJ8" s="2018"/>
      <c r="AK8" s="1799" t="s">
        <v>9</v>
      </c>
      <c r="AL8" s="1791"/>
      <c r="AM8" s="1746" t="s">
        <v>4</v>
      </c>
    </row>
    <row r="9" spans="1:39" ht="34.5" customHeight="1">
      <c r="A9" s="3409"/>
      <c r="B9" s="3380"/>
      <c r="C9" s="3381"/>
      <c r="D9" s="3384" t="s">
        <v>230</v>
      </c>
      <c r="E9" s="3385"/>
      <c r="F9" s="1010"/>
      <c r="G9" s="897" t="s">
        <v>939</v>
      </c>
      <c r="H9" s="2202"/>
      <c r="I9" s="2191"/>
      <c r="J9" s="1402"/>
      <c r="K9" s="78">
        <f>K8/25*7.5</f>
        <v>0</v>
      </c>
      <c r="L9" s="1402" t="s">
        <v>10</v>
      </c>
      <c r="M9" s="1676"/>
      <c r="N9" s="1402"/>
      <c r="O9" s="78">
        <f>O8/25*7.5</f>
        <v>0</v>
      </c>
      <c r="P9" s="1402" t="s">
        <v>10</v>
      </c>
      <c r="Q9" s="1676"/>
      <c r="R9" s="1402"/>
      <c r="S9" s="78">
        <f>S8/25*7.5</f>
        <v>0</v>
      </c>
      <c r="T9" s="56" t="s">
        <v>10</v>
      </c>
      <c r="U9" s="20"/>
      <c r="W9" s="3409"/>
      <c r="X9" s="3380"/>
      <c r="Y9" s="3381"/>
      <c r="Z9" s="3384" t="s">
        <v>230</v>
      </c>
      <c r="AA9" s="3385"/>
      <c r="AB9" s="2018"/>
      <c r="AC9" s="1799" t="s">
        <v>10</v>
      </c>
      <c r="AD9" s="1791"/>
      <c r="AE9" s="1800"/>
      <c r="AF9" s="2018"/>
      <c r="AG9" s="1799" t="s">
        <v>10</v>
      </c>
      <c r="AH9" s="1791"/>
      <c r="AI9" s="1800"/>
      <c r="AJ9" s="2018"/>
      <c r="AK9" s="1799" t="s">
        <v>10</v>
      </c>
      <c r="AL9" s="1791"/>
      <c r="AM9" s="1800"/>
    </row>
    <row r="10" spans="1:39" ht="34.5" customHeight="1">
      <c r="A10" s="3374">
        <v>3</v>
      </c>
      <c r="B10" s="3386" t="s">
        <v>132</v>
      </c>
      <c r="C10" s="3387"/>
      <c r="D10" s="3256" t="s">
        <v>231</v>
      </c>
      <c r="E10" s="3257" t="s">
        <v>231</v>
      </c>
      <c r="F10" s="1427" t="s">
        <v>4</v>
      </c>
      <c r="G10" s="897" t="str">
        <f>'XM.GUI MAIL'!$E$47</f>
        <v>50~70</v>
      </c>
      <c r="H10" s="2202" t="str">
        <f>'XM.GUI MAIL'!$F$47</f>
        <v>(60±10)</v>
      </c>
      <c r="I10" s="2205">
        <f>'XM.GUI MAIL'!AD47</f>
        <v>62.370000000000005</v>
      </c>
      <c r="J10" s="1402" t="s">
        <v>8</v>
      </c>
      <c r="K10" s="1341">
        <f>'XM.GUI MAIL'!AG47</f>
        <v>0</v>
      </c>
      <c r="L10" s="1402" t="s">
        <v>9</v>
      </c>
      <c r="M10" s="1398">
        <f>'XM.GUI MAIL'!AK47</f>
        <v>60.983999999999995</v>
      </c>
      <c r="N10" s="1402" t="s">
        <v>8</v>
      </c>
      <c r="O10" s="1341">
        <f>'XM.GUI MAIL'!AN47</f>
        <v>0</v>
      </c>
      <c r="P10" s="1402" t="s">
        <v>9</v>
      </c>
      <c r="Q10" s="1398">
        <f>'XM.GUI MAIL'!AR47</f>
        <v>59.598000000000006</v>
      </c>
      <c r="R10" s="1402" t="s">
        <v>8</v>
      </c>
      <c r="S10" s="1341">
        <f>'XM.GUI MAIL'!AU47</f>
        <v>0.46471199999999296</v>
      </c>
      <c r="T10" s="56" t="s">
        <v>9</v>
      </c>
      <c r="U10" s="270" t="s">
        <v>12</v>
      </c>
      <c r="W10" s="3374">
        <v>3</v>
      </c>
      <c r="X10" s="3386" t="s">
        <v>132</v>
      </c>
      <c r="Y10" s="3387"/>
      <c r="Z10" s="3256" t="s">
        <v>231</v>
      </c>
      <c r="AA10" s="3257" t="s">
        <v>231</v>
      </c>
      <c r="AB10" s="2018"/>
      <c r="AC10" s="1799" t="s">
        <v>9</v>
      </c>
      <c r="AD10" s="1791"/>
      <c r="AE10" s="1746" t="s">
        <v>4</v>
      </c>
      <c r="AF10" s="2018"/>
      <c r="AG10" s="1799" t="s">
        <v>9</v>
      </c>
      <c r="AH10" s="1791"/>
      <c r="AI10" s="1746" t="s">
        <v>4</v>
      </c>
      <c r="AJ10" s="2018"/>
      <c r="AK10" s="1799" t="s">
        <v>9</v>
      </c>
      <c r="AL10" s="1791"/>
      <c r="AM10" s="1746" t="s">
        <v>4</v>
      </c>
    </row>
    <row r="11" spans="1:39" ht="34.5" customHeight="1">
      <c r="A11" s="3375"/>
      <c r="B11" s="3387"/>
      <c r="C11" s="3387"/>
      <c r="D11" s="3256" t="s">
        <v>232</v>
      </c>
      <c r="E11" s="3257" t="s">
        <v>232</v>
      </c>
      <c r="F11" s="1010"/>
      <c r="G11" s="897" t="s">
        <v>978</v>
      </c>
      <c r="H11" s="2202"/>
      <c r="I11" s="2191"/>
      <c r="J11" s="1402"/>
      <c r="K11" s="78">
        <f>K10/25*7</f>
        <v>0</v>
      </c>
      <c r="L11" s="1402" t="s">
        <v>10</v>
      </c>
      <c r="M11" s="1676"/>
      <c r="N11" s="1402"/>
      <c r="O11" s="78">
        <f>O10/25*7</f>
        <v>0</v>
      </c>
      <c r="P11" s="1402" t="s">
        <v>10</v>
      </c>
      <c r="Q11" s="1676"/>
      <c r="R11" s="1402"/>
      <c r="S11" s="78">
        <f>S10/25*7</f>
        <v>0.13011935999999805</v>
      </c>
      <c r="T11" s="56" t="s">
        <v>10</v>
      </c>
      <c r="U11" s="20"/>
      <c r="W11" s="3375"/>
      <c r="X11" s="3387"/>
      <c r="Y11" s="3387"/>
      <c r="Z11" s="3256" t="s">
        <v>232</v>
      </c>
      <c r="AA11" s="3257" t="s">
        <v>232</v>
      </c>
      <c r="AB11" s="2018"/>
      <c r="AC11" s="1799" t="s">
        <v>10</v>
      </c>
      <c r="AD11" s="1791"/>
      <c r="AE11" s="1800"/>
      <c r="AF11" s="2018"/>
      <c r="AG11" s="1799" t="s">
        <v>10</v>
      </c>
      <c r="AH11" s="1791"/>
      <c r="AI11" s="1800"/>
      <c r="AJ11" s="2018"/>
      <c r="AK11" s="1799" t="s">
        <v>10</v>
      </c>
      <c r="AL11" s="1791"/>
      <c r="AM11" s="1800"/>
    </row>
    <row r="12" spans="1:39" ht="34.5" customHeight="1">
      <c r="A12" s="3374">
        <v>4</v>
      </c>
      <c r="B12" s="3386" t="s">
        <v>133</v>
      </c>
      <c r="C12" s="3387"/>
      <c r="D12" s="3256" t="s">
        <v>231</v>
      </c>
      <c r="E12" s="3257" t="s">
        <v>231</v>
      </c>
      <c r="F12" s="1427" t="s">
        <v>4</v>
      </c>
      <c r="G12" s="897" t="str">
        <f>'XM.GUI MAIL'!$E$49</f>
        <v>50~70</v>
      </c>
      <c r="H12" s="2202" t="str">
        <f>'XM.GUI MAIL'!$F$49</f>
        <v>(60±10)</v>
      </c>
      <c r="I12" s="2205">
        <f>'XM.GUI MAIL'!AD49</f>
        <v>57.75</v>
      </c>
      <c r="J12" s="1402" t="s">
        <v>8</v>
      </c>
      <c r="K12" s="1341">
        <f>'XM.GUI MAIL'!AG49</f>
        <v>3.2827500000000001</v>
      </c>
      <c r="L12" s="1402" t="s">
        <v>9</v>
      </c>
      <c r="M12" s="1398">
        <f>'XM.GUI MAIL'!AK49</f>
        <v>65.603999999999999</v>
      </c>
      <c r="N12" s="1402" t="s">
        <v>8</v>
      </c>
      <c r="O12" s="1341">
        <f>'XM.GUI MAIL'!AN49</f>
        <v>0</v>
      </c>
      <c r="P12" s="1402" t="s">
        <v>9</v>
      </c>
      <c r="Q12" s="1398">
        <f>'XM.GUI MAIL'!AR49</f>
        <v>67.914000000000001</v>
      </c>
      <c r="R12" s="1402" t="s">
        <v>8</v>
      </c>
      <c r="S12" s="1341">
        <f>'XM.GUI MAIL'!AU49</f>
        <v>0</v>
      </c>
      <c r="T12" s="56" t="s">
        <v>9</v>
      </c>
      <c r="U12" s="270" t="s">
        <v>12</v>
      </c>
      <c r="W12" s="3374">
        <v>4</v>
      </c>
      <c r="X12" s="3386" t="s">
        <v>133</v>
      </c>
      <c r="Y12" s="3387"/>
      <c r="Z12" s="3256" t="s">
        <v>231</v>
      </c>
      <c r="AA12" s="3257" t="s">
        <v>231</v>
      </c>
      <c r="AB12" s="2018" t="s">
        <v>1690</v>
      </c>
      <c r="AC12" s="1799" t="s">
        <v>9</v>
      </c>
      <c r="AD12" s="1791">
        <v>60</v>
      </c>
      <c r="AE12" s="1746" t="s">
        <v>4</v>
      </c>
      <c r="AF12" s="2018"/>
      <c r="AG12" s="1799" t="s">
        <v>9</v>
      </c>
      <c r="AH12" s="1791"/>
      <c r="AI12" s="1746" t="s">
        <v>4</v>
      </c>
      <c r="AJ12" s="2018"/>
      <c r="AK12" s="1799" t="s">
        <v>9</v>
      </c>
      <c r="AL12" s="1791"/>
      <c r="AM12" s="1746" t="s">
        <v>4</v>
      </c>
    </row>
    <row r="13" spans="1:39" ht="34.5" customHeight="1">
      <c r="A13" s="3375"/>
      <c r="B13" s="3387"/>
      <c r="C13" s="3387"/>
      <c r="D13" s="3256" t="s">
        <v>232</v>
      </c>
      <c r="E13" s="3257" t="s">
        <v>232</v>
      </c>
      <c r="F13" s="1010"/>
      <c r="G13" s="897" t="s">
        <v>978</v>
      </c>
      <c r="H13" s="2202"/>
      <c r="I13" s="2191"/>
      <c r="J13" s="1402"/>
      <c r="K13" s="78">
        <f>K12/25*7</f>
        <v>0.91917000000000004</v>
      </c>
      <c r="L13" s="1402" t="s">
        <v>10</v>
      </c>
      <c r="M13" s="1676"/>
      <c r="N13" s="1402"/>
      <c r="O13" s="78">
        <f>O12/25*7</f>
        <v>0</v>
      </c>
      <c r="P13" s="1402" t="s">
        <v>10</v>
      </c>
      <c r="Q13" s="1676"/>
      <c r="R13" s="1402"/>
      <c r="S13" s="78">
        <f>S12/25*7</f>
        <v>0</v>
      </c>
      <c r="T13" s="56" t="s">
        <v>10</v>
      </c>
      <c r="U13" s="20"/>
      <c r="W13" s="3375"/>
      <c r="X13" s="3387"/>
      <c r="Y13" s="3387"/>
      <c r="Z13" s="3256" t="s">
        <v>232</v>
      </c>
      <c r="AA13" s="3257" t="s">
        <v>232</v>
      </c>
      <c r="AB13" s="2018"/>
      <c r="AC13" s="1799" t="s">
        <v>10</v>
      </c>
      <c r="AD13" s="1791"/>
      <c r="AE13" s="1800"/>
      <c r="AF13" s="2018"/>
      <c r="AG13" s="1799" t="s">
        <v>10</v>
      </c>
      <c r="AH13" s="1791"/>
      <c r="AI13" s="1800"/>
      <c r="AJ13" s="2018"/>
      <c r="AK13" s="1799" t="s">
        <v>10</v>
      </c>
      <c r="AL13" s="1791"/>
      <c r="AM13" s="1800"/>
    </row>
    <row r="14" spans="1:39" ht="34.5" customHeight="1">
      <c r="A14" s="1427">
        <v>5</v>
      </c>
      <c r="B14" s="3256" t="s">
        <v>78</v>
      </c>
      <c r="C14" s="3369"/>
      <c r="D14" s="3369"/>
      <c r="E14" s="3257"/>
      <c r="F14" s="1427" t="s">
        <v>4</v>
      </c>
      <c r="G14" s="1005" t="str">
        <f>'XM.GUI MAIL'!$E$51</f>
        <v>130 - 150</v>
      </c>
      <c r="H14" s="2206" t="str">
        <f>'XM.GUI MAIL'!$F$51</f>
        <v>(140±7)</v>
      </c>
      <c r="I14" s="2194">
        <f>'XM.GUI MAIL'!AD51</f>
        <v>143.19999999999999</v>
      </c>
      <c r="J14" s="1402" t="s">
        <v>8</v>
      </c>
      <c r="K14" s="1341">
        <f>'XM.GUI MAIL'!AG51</f>
        <v>0</v>
      </c>
      <c r="L14" s="1402" t="s">
        <v>9</v>
      </c>
      <c r="M14" s="1755">
        <f>'XM.GUI MAIL'!AK51</f>
        <v>144</v>
      </c>
      <c r="N14" s="1402" t="s">
        <v>8</v>
      </c>
      <c r="O14" s="1341">
        <f>'XM.GUI MAIL'!AN51</f>
        <v>0</v>
      </c>
      <c r="P14" s="1402" t="s">
        <v>9</v>
      </c>
      <c r="Q14" s="1755">
        <f>'XM.GUI MAIL'!AR51</f>
        <v>144</v>
      </c>
      <c r="R14" s="1402" t="s">
        <v>8</v>
      </c>
      <c r="S14" s="1341">
        <f>'XM.GUI MAIL'!AU51</f>
        <v>0</v>
      </c>
      <c r="T14" s="56" t="s">
        <v>9</v>
      </c>
      <c r="U14" s="270" t="s">
        <v>13</v>
      </c>
      <c r="W14" s="1439">
        <v>5</v>
      </c>
      <c r="X14" s="3256" t="s">
        <v>78</v>
      </c>
      <c r="Y14" s="3369"/>
      <c r="Z14" s="3369"/>
      <c r="AA14" s="3257"/>
      <c r="AB14" s="2018"/>
      <c r="AC14" s="1799" t="s">
        <v>9</v>
      </c>
      <c r="AD14" s="1791"/>
      <c r="AE14" s="1746" t="s">
        <v>4</v>
      </c>
      <c r="AF14" s="2018"/>
      <c r="AG14" s="1799" t="s">
        <v>9</v>
      </c>
      <c r="AH14" s="1791"/>
      <c r="AI14" s="1746" t="s">
        <v>4</v>
      </c>
      <c r="AJ14" s="2018"/>
      <c r="AK14" s="1799" t="s">
        <v>9</v>
      </c>
      <c r="AL14" s="1791"/>
      <c r="AM14" s="1746" t="s">
        <v>4</v>
      </c>
    </row>
    <row r="15" spans="1:39" ht="34.5" customHeight="1">
      <c r="A15" s="1427">
        <v>6</v>
      </c>
      <c r="B15" s="3256" t="s">
        <v>56</v>
      </c>
      <c r="C15" s="3369"/>
      <c r="D15" s="3369"/>
      <c r="E15" s="3257"/>
      <c r="F15" s="1427" t="s">
        <v>4</v>
      </c>
      <c r="G15" s="1005" t="str">
        <f>'XM.GUI MAIL'!$E$52</f>
        <v>8~12</v>
      </c>
      <c r="H15" s="2206" t="str">
        <f>'XM.GUI MAIL'!$F$52</f>
        <v>(10±2)</v>
      </c>
      <c r="I15" s="2196">
        <f>'XM.GUI MAIL'!AD52</f>
        <v>9.879999999999999</v>
      </c>
      <c r="J15" s="1402" t="s">
        <v>8</v>
      </c>
      <c r="K15" s="1341">
        <f>'XM.GUI MAIL'!AG52</f>
        <v>2.39412000000002</v>
      </c>
      <c r="L15" s="1402" t="s">
        <v>9</v>
      </c>
      <c r="M15" s="1731">
        <f>'XM.GUI MAIL'!AK52</f>
        <v>9.879999999999999</v>
      </c>
      <c r="N15" s="1402" t="s">
        <v>8</v>
      </c>
      <c r="O15" s="1341">
        <f>'XM.GUI MAIL'!AN52</f>
        <v>2.39412000000002</v>
      </c>
      <c r="P15" s="1402" t="s">
        <v>9</v>
      </c>
      <c r="Q15" s="1731">
        <f>'XM.GUI MAIL'!AR52</f>
        <v>10.01</v>
      </c>
      <c r="R15" s="1402" t="s">
        <v>8</v>
      </c>
      <c r="S15" s="1341">
        <f>'XM.GUI MAIL'!AU52</f>
        <v>0</v>
      </c>
      <c r="T15" s="56" t="s">
        <v>9</v>
      </c>
      <c r="U15" s="270" t="s">
        <v>14</v>
      </c>
      <c r="W15" s="1439">
        <v>6</v>
      </c>
      <c r="X15" s="3256" t="s">
        <v>56</v>
      </c>
      <c r="Y15" s="3369"/>
      <c r="Z15" s="3369"/>
      <c r="AA15" s="3257"/>
      <c r="AB15" s="2018"/>
      <c r="AC15" s="1799" t="s">
        <v>9</v>
      </c>
      <c r="AD15" s="1791"/>
      <c r="AE15" s="1746" t="s">
        <v>4</v>
      </c>
      <c r="AF15" s="2018"/>
      <c r="AG15" s="1799" t="s">
        <v>9</v>
      </c>
      <c r="AH15" s="1791"/>
      <c r="AI15" s="1746" t="s">
        <v>4</v>
      </c>
      <c r="AJ15" s="2018"/>
      <c r="AK15" s="1799" t="s">
        <v>9</v>
      </c>
      <c r="AL15" s="1791"/>
      <c r="AM15" s="1746" t="s">
        <v>4</v>
      </c>
    </row>
    <row r="16" spans="1:39" ht="34.5" customHeight="1">
      <c r="A16" s="3374">
        <v>7</v>
      </c>
      <c r="B16" s="3143" t="s">
        <v>971</v>
      </c>
      <c r="C16" s="3144"/>
      <c r="D16" s="3144"/>
      <c r="E16" s="3145"/>
      <c r="F16" s="1427" t="s">
        <v>3</v>
      </c>
      <c r="G16" s="1005" t="str">
        <f>'XM.GUI MAIL'!$E$53</f>
        <v xml:space="preserve">6~10 </v>
      </c>
      <c r="H16" s="2206" t="str">
        <f>'XM.GUI MAIL'!$F$53</f>
        <v>(7±1)</v>
      </c>
      <c r="I16" s="2196">
        <f>'XM.GUI MAIL'!AD53</f>
        <v>7.1736800000000001</v>
      </c>
      <c r="J16" s="1402" t="s">
        <v>8</v>
      </c>
      <c r="K16" s="1341">
        <f>'XM.GUI MAIL'!AG53</f>
        <v>0</v>
      </c>
      <c r="L16" s="1402" t="s">
        <v>10</v>
      </c>
      <c r="M16" s="1731">
        <f>'XM.GUI MAIL'!AK53</f>
        <v>7.0042</v>
      </c>
      <c r="N16" s="1402" t="s">
        <v>8</v>
      </c>
      <c r="O16" s="1341">
        <f>'XM.GUI MAIL'!AN53</f>
        <v>0</v>
      </c>
      <c r="P16" s="1402" t="s">
        <v>10</v>
      </c>
      <c r="Q16" s="1731">
        <f>'XM.GUI MAIL'!AR53</f>
        <v>6.4957600000000006</v>
      </c>
      <c r="R16" s="1402" t="s">
        <v>8</v>
      </c>
      <c r="S16" s="1341">
        <f>'XM.GUI MAIL'!AU53</f>
        <v>2.8993799999999963</v>
      </c>
      <c r="T16" s="56" t="s">
        <v>10</v>
      </c>
      <c r="U16" s="270"/>
      <c r="W16" s="3374">
        <v>7</v>
      </c>
      <c r="X16" s="3143" t="s">
        <v>971</v>
      </c>
      <c r="Y16" s="3144"/>
      <c r="Z16" s="3144"/>
      <c r="AA16" s="3145"/>
      <c r="AB16" s="2018"/>
      <c r="AC16" s="1799" t="s">
        <v>10</v>
      </c>
      <c r="AD16" s="1791"/>
      <c r="AE16" s="1746" t="s">
        <v>3</v>
      </c>
      <c r="AF16" s="2018"/>
      <c r="AG16" s="1799" t="s">
        <v>10</v>
      </c>
      <c r="AH16" s="1791"/>
      <c r="AI16" s="1746" t="s">
        <v>3</v>
      </c>
      <c r="AJ16" s="2018"/>
      <c r="AK16" s="1799" t="s">
        <v>10</v>
      </c>
      <c r="AL16" s="1791"/>
      <c r="AM16" s="1746" t="s">
        <v>3</v>
      </c>
    </row>
    <row r="17" spans="1:39" ht="34.5" customHeight="1">
      <c r="A17" s="3375"/>
      <c r="B17" s="3146"/>
      <c r="C17" s="3407"/>
      <c r="D17" s="3407"/>
      <c r="E17" s="3408"/>
      <c r="F17" s="1427" t="s">
        <v>5</v>
      </c>
      <c r="G17" s="1005" t="str">
        <f>'XM.GUI MAIL'!$E$54</f>
        <v>2~2.5</v>
      </c>
      <c r="H17" s="2206" t="str">
        <f>'XM.GUI MAIL'!$F$54</f>
        <v>(2.3±0.1 )</v>
      </c>
      <c r="I17" s="2196">
        <f>'XM.GUI MAIL'!AD54</f>
        <v>2.4</v>
      </c>
      <c r="J17" s="1402"/>
      <c r="K17" s="1341">
        <f>'XM.GUI MAIL'!AG54</f>
        <v>0</v>
      </c>
      <c r="L17" s="1402"/>
      <c r="M17" s="1731">
        <f>'XM.GUI MAIL'!AK54</f>
        <v>2.35</v>
      </c>
      <c r="N17" s="1402"/>
      <c r="O17" s="1341">
        <f>'XM.GUI MAIL'!AN54</f>
        <v>0</v>
      </c>
      <c r="P17" s="1402"/>
      <c r="Q17" s="1731">
        <f>'XM.GUI MAIL'!AR54</f>
        <v>2.4</v>
      </c>
      <c r="R17" s="1402"/>
      <c r="S17" s="1341">
        <f>'XM.GUI MAIL'!AU54</f>
        <v>0</v>
      </c>
      <c r="T17" s="56"/>
      <c r="U17" s="20"/>
      <c r="W17" s="3375"/>
      <c r="X17" s="3146"/>
      <c r="Y17" s="3407"/>
      <c r="Z17" s="3407"/>
      <c r="AA17" s="3408"/>
      <c r="AB17" s="2018"/>
      <c r="AC17" s="1799"/>
      <c r="AD17" s="1791"/>
      <c r="AE17" s="1746" t="s">
        <v>5</v>
      </c>
      <c r="AF17" s="2018"/>
      <c r="AG17" s="1799"/>
      <c r="AH17" s="1791"/>
      <c r="AI17" s="1746" t="s">
        <v>5</v>
      </c>
      <c r="AJ17" s="2018"/>
      <c r="AK17" s="1799"/>
      <c r="AL17" s="1791"/>
      <c r="AM17" s="1746" t="s">
        <v>5</v>
      </c>
    </row>
    <row r="18" spans="1:39" ht="34.5" customHeight="1">
      <c r="A18" s="1427">
        <v>8</v>
      </c>
      <c r="B18" s="3256" t="s">
        <v>57</v>
      </c>
      <c r="C18" s="3369"/>
      <c r="D18" s="3369"/>
      <c r="E18" s="3257"/>
      <c r="F18" s="1436" t="s">
        <v>6</v>
      </c>
      <c r="G18" s="1005" t="str">
        <f>'XM.GUI MAIL'!$E$55</f>
        <v xml:space="preserve">40~50 </v>
      </c>
      <c r="H18" s="2206" t="str">
        <f>'XM.GUI MAIL'!$F$55</f>
        <v>(45±5)</v>
      </c>
      <c r="I18" s="2197">
        <f>'XM.GUI MAIL'!AD55</f>
        <v>0.45624999999999999</v>
      </c>
      <c r="J18" s="1404" t="s">
        <v>8</v>
      </c>
      <c r="K18" s="1405">
        <f>'XM.GUI MAIL'!AG55</f>
        <v>0</v>
      </c>
      <c r="L18" s="1406" t="s">
        <v>10</v>
      </c>
      <c r="M18" s="1736">
        <f>'XM.GUI MAIL'!AK55</f>
        <v>0.44484374999999998</v>
      </c>
      <c r="N18" s="1404" t="s">
        <v>8</v>
      </c>
      <c r="O18" s="1405">
        <f>'XM.GUI MAIL'!AN55</f>
        <v>10.941562500000062</v>
      </c>
      <c r="P18" s="1406" t="s">
        <v>10</v>
      </c>
      <c r="Q18" s="1736">
        <f>'XM.GUI MAIL'!AR55</f>
        <v>0.46765624999999994</v>
      </c>
      <c r="R18" s="1402" t="s">
        <v>8</v>
      </c>
      <c r="S18" s="1341">
        <f>'XM.GUI MAIL'!AU55</f>
        <v>0</v>
      </c>
      <c r="T18" s="56" t="s">
        <v>10</v>
      </c>
      <c r="U18" s="270" t="s">
        <v>15</v>
      </c>
      <c r="W18" s="1439">
        <v>8</v>
      </c>
      <c r="X18" s="3256" t="s">
        <v>57</v>
      </c>
      <c r="Y18" s="3369"/>
      <c r="Z18" s="3369"/>
      <c r="AA18" s="3257"/>
      <c r="AB18" s="2018"/>
      <c r="AC18" s="1799" t="s">
        <v>10</v>
      </c>
      <c r="AD18" s="1791"/>
      <c r="AE18" s="1801" t="s">
        <v>6</v>
      </c>
      <c r="AF18" s="2018"/>
      <c r="AG18" s="1799" t="s">
        <v>10</v>
      </c>
      <c r="AH18" s="1791"/>
      <c r="AI18" s="1801" t="s">
        <v>6</v>
      </c>
      <c r="AJ18" s="2018"/>
      <c r="AK18" s="1799" t="s">
        <v>10</v>
      </c>
      <c r="AL18" s="1791"/>
      <c r="AM18" s="1801" t="s">
        <v>6</v>
      </c>
    </row>
    <row r="19" spans="1:39" ht="34.5" hidden="1" customHeight="1">
      <c r="A19" s="1427">
        <v>9</v>
      </c>
      <c r="B19" s="3256" t="s">
        <v>58</v>
      </c>
      <c r="C19" s="3369"/>
      <c r="D19" s="3369"/>
      <c r="E19" s="3257"/>
      <c r="F19" s="1436" t="s">
        <v>6</v>
      </c>
      <c r="G19" s="1005" t="str">
        <f>'XM.GUI MAIL'!$E$56</f>
        <v>(22±5) =17~27</v>
      </c>
      <c r="H19" s="2206" t="str">
        <f>'XM.GUI MAIL'!$F$56</f>
        <v>(22±5)</v>
      </c>
      <c r="I19" s="2197">
        <f>'XM.GUI MAIL'!AD56</f>
        <v>0</v>
      </c>
      <c r="J19" s="1402" t="s">
        <v>8</v>
      </c>
      <c r="K19" s="1341">
        <f>'XM.GUI MAIL'!AG56</f>
        <v>0</v>
      </c>
      <c r="L19" s="1402" t="s">
        <v>10</v>
      </c>
      <c r="M19" s="1736">
        <f>'XM.GUI MAIL'!AK56</f>
        <v>0</v>
      </c>
      <c r="N19" s="1402" t="s">
        <v>8</v>
      </c>
      <c r="O19" s="1341">
        <f>'XM.GUI MAIL'!AN56</f>
        <v>0</v>
      </c>
      <c r="P19" s="1402" t="s">
        <v>10</v>
      </c>
      <c r="Q19" s="1736">
        <f>'XM.GUI MAIL'!AR56</f>
        <v>0</v>
      </c>
      <c r="R19" s="1402" t="s">
        <v>8</v>
      </c>
      <c r="S19" s="1341">
        <f>'XM.GUI MAIL'!AU56</f>
        <v>0</v>
      </c>
      <c r="T19" s="56" t="s">
        <v>10</v>
      </c>
      <c r="U19" s="270" t="s">
        <v>15</v>
      </c>
      <c r="W19" s="1439">
        <v>9</v>
      </c>
      <c r="X19" s="3256" t="s">
        <v>58</v>
      </c>
      <c r="Y19" s="3369"/>
      <c r="Z19" s="3369"/>
      <c r="AA19" s="3257"/>
      <c r="AB19" s="2018"/>
      <c r="AC19" s="1799" t="s">
        <v>10</v>
      </c>
      <c r="AD19" s="1791"/>
      <c r="AE19" s="1801" t="s">
        <v>6</v>
      </c>
      <c r="AF19" s="2018"/>
      <c r="AG19" s="1799" t="s">
        <v>10</v>
      </c>
      <c r="AH19" s="1791"/>
      <c r="AI19" s="1801" t="s">
        <v>6</v>
      </c>
      <c r="AJ19" s="2018"/>
      <c r="AK19" s="1799" t="s">
        <v>10</v>
      </c>
      <c r="AL19" s="1791"/>
      <c r="AM19" s="1801" t="s">
        <v>6</v>
      </c>
    </row>
    <row r="20" spans="1:39" ht="32.25" customHeight="1">
      <c r="A20" s="1427">
        <v>11</v>
      </c>
      <c r="B20" s="3256" t="s">
        <v>107</v>
      </c>
      <c r="C20" s="3369"/>
      <c r="D20" s="3369"/>
      <c r="E20" s="3257"/>
      <c r="F20" s="1436" t="s">
        <v>6</v>
      </c>
      <c r="G20" s="1005" t="str">
        <f>'XM.GUI MAIL'!$E$57</f>
        <v>5~15</v>
      </c>
      <c r="H20" s="2206" t="str">
        <f>'XM.GUI MAIL'!$F$57</f>
        <v>(10±3)</v>
      </c>
      <c r="I20" s="2197">
        <f>'XM.GUI MAIL'!AD57</f>
        <v>6.8437499999999998E-2</v>
      </c>
      <c r="J20" s="1402" t="s">
        <v>8</v>
      </c>
      <c r="K20" s="1341">
        <f>'XM.GUI MAIL'!AG57</f>
        <v>18.148437500000004</v>
      </c>
      <c r="L20" s="1402" t="s">
        <v>10</v>
      </c>
      <c r="M20" s="1736">
        <f>'XM.GUI MAIL'!AK57</f>
        <v>0.1140625</v>
      </c>
      <c r="N20" s="1402" t="s">
        <v>8</v>
      </c>
      <c r="O20" s="1341">
        <f>'XM.GUI MAIL'!AN57</f>
        <v>0</v>
      </c>
      <c r="P20" s="1402" t="s">
        <v>10</v>
      </c>
      <c r="Q20" s="1736">
        <f>'XM.GUI MAIL'!AR57</f>
        <v>0.10265625</v>
      </c>
      <c r="R20" s="1402" t="s">
        <v>8</v>
      </c>
      <c r="S20" s="1341">
        <f>'XM.GUI MAIL'!AU57</f>
        <v>0</v>
      </c>
      <c r="T20" s="56" t="s">
        <v>10</v>
      </c>
      <c r="U20" s="270" t="s">
        <v>16</v>
      </c>
      <c r="W20" s="1439">
        <v>11</v>
      </c>
      <c r="X20" s="3256" t="s">
        <v>107</v>
      </c>
      <c r="Y20" s="3369"/>
      <c r="Z20" s="3369"/>
      <c r="AA20" s="3257"/>
      <c r="AB20" s="2018"/>
      <c r="AC20" s="1799" t="s">
        <v>10</v>
      </c>
      <c r="AD20" s="1791"/>
      <c r="AE20" s="1801" t="s">
        <v>6</v>
      </c>
      <c r="AF20" s="2018"/>
      <c r="AG20" s="1799" t="s">
        <v>10</v>
      </c>
      <c r="AH20" s="1791"/>
      <c r="AI20" s="1801" t="s">
        <v>6</v>
      </c>
      <c r="AJ20" s="2018"/>
      <c r="AK20" s="1799" t="s">
        <v>10</v>
      </c>
      <c r="AL20" s="1791"/>
      <c r="AM20" s="1801" t="s">
        <v>6</v>
      </c>
    </row>
    <row r="21" spans="1:39" ht="34.5" customHeight="1">
      <c r="A21" s="1427">
        <v>12</v>
      </c>
      <c r="B21" s="3256" t="s">
        <v>106</v>
      </c>
      <c r="C21" s="3369"/>
      <c r="D21" s="3369"/>
      <c r="E21" s="3257"/>
      <c r="F21" s="1436" t="s">
        <v>3</v>
      </c>
      <c r="G21" s="1005" t="str">
        <f>'XM.GUI MAIL'!$E$58</f>
        <v>0.5~1.5</v>
      </c>
      <c r="H21" s="2206" t="str">
        <f>'XM.GUI MAIL'!$F$58</f>
        <v>(1±0.4)</v>
      </c>
      <c r="I21" s="2199">
        <f>'XM.GUI MAIL'!AD58</f>
        <v>1.0709999999999999E-2</v>
      </c>
      <c r="J21" s="1404" t="s">
        <v>8</v>
      </c>
      <c r="K21" s="1409">
        <f>'XM.GUI MAIL'!AG58</f>
        <v>0</v>
      </c>
      <c r="L21" s="1406" t="s">
        <v>10</v>
      </c>
      <c r="M21" s="1767">
        <f>'XM.GUI MAIL'!AK58</f>
        <v>1.26E-2</v>
      </c>
      <c r="N21" s="1404" t="s">
        <v>8</v>
      </c>
      <c r="O21" s="1409">
        <f>'XM.GUI MAIL'!AN58</f>
        <v>0</v>
      </c>
      <c r="P21" s="1406" t="s">
        <v>10</v>
      </c>
      <c r="Q21" s="1767">
        <f>'XM.GUI MAIL'!AR58</f>
        <v>1.008E-2</v>
      </c>
      <c r="R21" s="1402" t="s">
        <v>8</v>
      </c>
      <c r="S21" s="78">
        <f>'XM.GUI MAIL'!AU58</f>
        <v>0</v>
      </c>
      <c r="T21" s="56" t="s">
        <v>10</v>
      </c>
      <c r="U21" s="270" t="s">
        <v>16</v>
      </c>
      <c r="W21" s="1439">
        <v>12</v>
      </c>
      <c r="X21" s="3256" t="s">
        <v>106</v>
      </c>
      <c r="Y21" s="3369"/>
      <c r="Z21" s="3369"/>
      <c r="AA21" s="3257"/>
      <c r="AB21" s="2018"/>
      <c r="AC21" s="1799" t="s">
        <v>10</v>
      </c>
      <c r="AD21" s="1791"/>
      <c r="AE21" s="1801" t="s">
        <v>3</v>
      </c>
      <c r="AF21" s="2018"/>
      <c r="AG21" s="1799" t="s">
        <v>10</v>
      </c>
      <c r="AH21" s="1791"/>
      <c r="AI21" s="1801" t="s">
        <v>3</v>
      </c>
      <c r="AJ21" s="2018"/>
      <c r="AK21" s="1799" t="s">
        <v>10</v>
      </c>
      <c r="AL21" s="1791"/>
      <c r="AM21" s="1801" t="s">
        <v>3</v>
      </c>
    </row>
    <row r="22" spans="1:39" ht="30.75" customHeight="1">
      <c r="A22" s="3374">
        <v>13</v>
      </c>
      <c r="B22" s="3143" t="s">
        <v>233</v>
      </c>
      <c r="C22" s="3144"/>
      <c r="D22" s="3144"/>
      <c r="E22" s="3145"/>
      <c r="F22" s="1427" t="s">
        <v>3</v>
      </c>
      <c r="G22" s="1005" t="str">
        <f>'XM.GUI MAIL'!$E$59</f>
        <v>5~8</v>
      </c>
      <c r="H22" s="2206" t="str">
        <f>'XM.GUI MAIL'!$F$59</f>
        <v>(6±0.5)</v>
      </c>
      <c r="I22" s="2200">
        <f>'XM.GUI MAIL'!AD59</f>
        <v>7.32</v>
      </c>
      <c r="J22" s="1402" t="s">
        <v>8</v>
      </c>
      <c r="K22" s="78">
        <f>'XM.GUI MAIL'!AG59</f>
        <v>0</v>
      </c>
      <c r="L22" s="1403" t="s">
        <v>10</v>
      </c>
      <c r="M22" s="1833" t="str">
        <f>'XM.GUI MAIL'!AK59</f>
        <v xml:space="preserve">ko sx </v>
      </c>
      <c r="N22" s="1402" t="s">
        <v>8</v>
      </c>
      <c r="O22" s="78">
        <f>'XM.GUI MAIL'!AN59</f>
        <v>0</v>
      </c>
      <c r="P22" s="1403" t="s">
        <v>10</v>
      </c>
      <c r="Q22" s="1833" t="s">
        <v>1692</v>
      </c>
      <c r="R22" s="1402" t="s">
        <v>8</v>
      </c>
      <c r="S22" s="78">
        <f>'XM.GUI MAIL'!AU59</f>
        <v>0</v>
      </c>
      <c r="T22" s="56" t="s">
        <v>10</v>
      </c>
      <c r="U22" s="270"/>
      <c r="W22" s="3374">
        <v>13</v>
      </c>
      <c r="X22" s="3143" t="s">
        <v>233</v>
      </c>
      <c r="Y22" s="3144"/>
      <c r="Z22" s="3144"/>
      <c r="AA22" s="3145"/>
      <c r="AB22" s="2018"/>
      <c r="AC22" s="1799" t="s">
        <v>10</v>
      </c>
      <c r="AD22" s="1791"/>
      <c r="AE22" s="1746" t="s">
        <v>3</v>
      </c>
      <c r="AF22" s="2018"/>
      <c r="AG22" s="1799" t="s">
        <v>10</v>
      </c>
      <c r="AH22" s="1791"/>
      <c r="AI22" s="1746" t="s">
        <v>3</v>
      </c>
      <c r="AJ22" s="2018"/>
      <c r="AK22" s="1799" t="s">
        <v>10</v>
      </c>
      <c r="AL22" s="1791"/>
      <c r="AM22" s="1746" t="s">
        <v>3</v>
      </c>
    </row>
    <row r="23" spans="1:39" ht="30.75" customHeight="1">
      <c r="A23" s="3375"/>
      <c r="B23" s="3146"/>
      <c r="C23" s="3147"/>
      <c r="D23" s="3147"/>
      <c r="E23" s="3148"/>
      <c r="F23" s="1427" t="s">
        <v>5</v>
      </c>
      <c r="G23" s="1005" t="str">
        <f>'XM.GUI MAIL'!$E$60</f>
        <v>1.8~2.4</v>
      </c>
      <c r="H23" s="2206" t="str">
        <f>'XM.GUI MAIL'!$F$60</f>
        <v>(2.1±0.1 )</v>
      </c>
      <c r="I23" s="2201">
        <f>'XM.GUI MAIL'!AD60</f>
        <v>2</v>
      </c>
      <c r="J23" s="1402"/>
      <c r="K23" s="1341">
        <f>'XM.GUI MAIL'!AG60</f>
        <v>0</v>
      </c>
      <c r="L23" s="1403"/>
      <c r="M23" s="2176" t="str">
        <f>'XM.GUI MAIL'!AK60</f>
        <v xml:space="preserve">ko sx </v>
      </c>
      <c r="N23" s="1402"/>
      <c r="O23" s="1341">
        <f>'XM.GUI MAIL'!AN60</f>
        <v>0</v>
      </c>
      <c r="P23" s="1403"/>
      <c r="Q23" s="1833" t="s">
        <v>1692</v>
      </c>
      <c r="R23" s="1402"/>
      <c r="S23" s="1341">
        <f>'XM.GUI MAIL'!AU60</f>
        <v>0</v>
      </c>
      <c r="T23" s="56"/>
      <c r="U23" s="270"/>
      <c r="W23" s="3375"/>
      <c r="X23" s="3146"/>
      <c r="Y23" s="3147"/>
      <c r="Z23" s="3147"/>
      <c r="AA23" s="3148"/>
      <c r="AB23" s="2019"/>
      <c r="AC23" s="1799"/>
      <c r="AD23" s="1795"/>
      <c r="AE23" s="1746"/>
      <c r="AF23" s="2019"/>
      <c r="AG23" s="1799"/>
      <c r="AH23" s="1795"/>
      <c r="AI23" s="1746"/>
      <c r="AJ23" s="2019"/>
      <c r="AK23" s="1799"/>
      <c r="AL23" s="1795"/>
      <c r="AM23" s="1746"/>
    </row>
    <row r="24" spans="1:39" ht="33" customHeight="1">
      <c r="A24" s="1427"/>
      <c r="B24" s="254"/>
      <c r="C24" s="255"/>
      <c r="D24" s="255"/>
      <c r="E24" s="255"/>
      <c r="F24" s="255"/>
      <c r="G24" s="257" t="s">
        <v>108</v>
      </c>
      <c r="H24" s="257"/>
      <c r="I24" s="255"/>
      <c r="J24" s="255"/>
      <c r="K24" s="255"/>
      <c r="L24" s="255"/>
      <c r="M24" s="255"/>
      <c r="N24" s="255"/>
      <c r="O24" s="255"/>
      <c r="P24" s="255"/>
      <c r="Q24" s="255"/>
      <c r="R24" s="255"/>
      <c r="S24" s="255"/>
      <c r="T24" s="255"/>
      <c r="U24" s="256"/>
      <c r="W24" s="1439"/>
      <c r="X24" s="254"/>
      <c r="Y24" s="255"/>
      <c r="Z24" s="255"/>
      <c r="AA24" s="255"/>
      <c r="AB24" s="255"/>
      <c r="AC24" s="255"/>
      <c r="AD24" s="255"/>
      <c r="AE24" s="255"/>
      <c r="AF24" s="255"/>
      <c r="AG24" s="1798"/>
      <c r="AH24" s="1798"/>
      <c r="AJ24" s="255"/>
      <c r="AK24" s="255"/>
      <c r="AL24" s="255"/>
      <c r="AM24" s="255"/>
    </row>
    <row r="25" spans="1:39" ht="33" customHeight="1">
      <c r="A25" s="1436" t="s">
        <v>7</v>
      </c>
      <c r="B25" s="3256" t="s">
        <v>60</v>
      </c>
      <c r="C25" s="3369"/>
      <c r="D25" s="3369"/>
      <c r="E25" s="3257"/>
      <c r="F25" s="1426" t="s">
        <v>62</v>
      </c>
      <c r="G25" s="975" t="s">
        <v>1296</v>
      </c>
      <c r="H25" s="2204" t="s">
        <v>1289</v>
      </c>
      <c r="I25" s="3403" t="s">
        <v>45</v>
      </c>
      <c r="J25" s="3404"/>
      <c r="K25" s="3405" t="s">
        <v>61</v>
      </c>
      <c r="L25" s="3404"/>
      <c r="M25" s="3405" t="s">
        <v>45</v>
      </c>
      <c r="N25" s="3404"/>
      <c r="O25" s="3405" t="s">
        <v>61</v>
      </c>
      <c r="P25" s="3404"/>
      <c r="Q25" s="3405" t="s">
        <v>45</v>
      </c>
      <c r="R25" s="3404"/>
      <c r="S25" s="3405" t="s">
        <v>61</v>
      </c>
      <c r="T25" s="3404"/>
      <c r="U25" s="1433"/>
      <c r="W25" s="1441" t="s">
        <v>7</v>
      </c>
      <c r="X25" s="3256" t="s">
        <v>60</v>
      </c>
      <c r="Y25" s="3369"/>
      <c r="Z25" s="3369"/>
      <c r="AA25" s="3257"/>
      <c r="AB25" s="3366" t="s">
        <v>1345</v>
      </c>
      <c r="AC25" s="3199"/>
      <c r="AD25" s="3199"/>
      <c r="AE25" s="3200"/>
      <c r="AF25" s="3366" t="s">
        <v>1345</v>
      </c>
      <c r="AG25" s="3199"/>
      <c r="AH25" s="3199"/>
      <c r="AI25" s="3200"/>
      <c r="AJ25" s="3366" t="s">
        <v>1345</v>
      </c>
      <c r="AK25" s="3199"/>
      <c r="AL25" s="3199"/>
      <c r="AM25" s="3200"/>
    </row>
    <row r="26" spans="1:39" ht="34.5" customHeight="1">
      <c r="A26" s="1436">
        <v>1</v>
      </c>
      <c r="B26" s="3256" t="s">
        <v>64</v>
      </c>
      <c r="C26" s="3369"/>
      <c r="D26" s="3369"/>
      <c r="E26" s="3257"/>
      <c r="F26" s="21" t="s">
        <v>104</v>
      </c>
      <c r="G26" s="1006" t="str">
        <f>'XM.GUI MAIL'!$E$63</f>
        <v>50~70</v>
      </c>
      <c r="H26" s="2222" t="str">
        <f>'XM.GUI MAIL'!$F$63</f>
        <v>(60±5)</v>
      </c>
      <c r="I26" s="3195">
        <f>'XM.GUI MAIL'!AD63</f>
        <v>55</v>
      </c>
      <c r="J26" s="3121"/>
      <c r="K26" s="3121">
        <f>'XM.GUI MAIL'!AG63</f>
        <v>54</v>
      </c>
      <c r="L26" s="3121"/>
      <c r="M26" s="3121">
        <f>'XM.GUI MAIL'!AK63</f>
        <v>55</v>
      </c>
      <c r="N26" s="3121"/>
      <c r="O26" s="3121">
        <f>'XM.GUI MAIL'!AN63</f>
        <v>54</v>
      </c>
      <c r="P26" s="3121"/>
      <c r="Q26" s="3121">
        <f>'XM.GUI MAIL'!AR63</f>
        <v>55</v>
      </c>
      <c r="R26" s="3121"/>
      <c r="S26" s="3121">
        <f>'XM.GUI MAIL'!AU63</f>
        <v>54</v>
      </c>
      <c r="T26" s="3121"/>
      <c r="U26" s="20"/>
      <c r="W26" s="1441">
        <v>1</v>
      </c>
      <c r="X26" s="3256" t="s">
        <v>64</v>
      </c>
      <c r="Y26" s="3369"/>
      <c r="Z26" s="3369"/>
      <c r="AA26" s="3257"/>
      <c r="AB26" s="1505"/>
      <c r="AC26" s="1787"/>
      <c r="AD26" s="1787"/>
      <c r="AE26" s="1506"/>
      <c r="AF26" s="1599"/>
      <c r="AG26" s="1787"/>
      <c r="AH26" s="1787"/>
      <c r="AI26" s="1506"/>
      <c r="AJ26" s="1505"/>
      <c r="AK26" s="1787"/>
      <c r="AL26" s="1787"/>
      <c r="AM26" s="1506"/>
    </row>
    <row r="27" spans="1:39" ht="34.5" customHeight="1">
      <c r="A27" s="1436">
        <v>2</v>
      </c>
      <c r="B27" s="3256" t="s">
        <v>65</v>
      </c>
      <c r="C27" s="3369" t="s">
        <v>65</v>
      </c>
      <c r="D27" s="3369" t="s">
        <v>65</v>
      </c>
      <c r="E27" s="3257" t="s">
        <v>65</v>
      </c>
      <c r="F27" s="21" t="s">
        <v>104</v>
      </c>
      <c r="G27" s="1006" t="str">
        <f>'XM.GUI MAIL'!$E$64</f>
        <v>50~70</v>
      </c>
      <c r="H27" s="2222" t="str">
        <f>'XM.GUI MAIL'!$F$64</f>
        <v>(60±5)</v>
      </c>
      <c r="I27" s="3195">
        <f>'XM.GUI MAIL'!AD64</f>
        <v>59</v>
      </c>
      <c r="J27" s="3121"/>
      <c r="K27" s="3121">
        <f>'XM.GUI MAIL'!AG64</f>
        <v>58</v>
      </c>
      <c r="L27" s="3121"/>
      <c r="M27" s="3121">
        <f>'XM.GUI MAIL'!AK64</f>
        <v>59</v>
      </c>
      <c r="N27" s="3121"/>
      <c r="O27" s="3121">
        <f>'XM.GUI MAIL'!AN64</f>
        <v>58</v>
      </c>
      <c r="P27" s="3121"/>
      <c r="Q27" s="3121">
        <f>'XM.GUI MAIL'!AR64</f>
        <v>58</v>
      </c>
      <c r="R27" s="3121"/>
      <c r="S27" s="3121">
        <f>'XM.GUI MAIL'!AU64</f>
        <v>57</v>
      </c>
      <c r="T27" s="3121"/>
      <c r="U27" s="20"/>
      <c r="W27" s="1441">
        <v>2</v>
      </c>
      <c r="X27" s="3256" t="s">
        <v>65</v>
      </c>
      <c r="Y27" s="3369" t="s">
        <v>65</v>
      </c>
      <c r="Z27" s="3369" t="s">
        <v>65</v>
      </c>
      <c r="AA27" s="3257" t="s">
        <v>65</v>
      </c>
      <c r="AB27" s="1505"/>
      <c r="AC27" s="1787"/>
      <c r="AD27" s="1787"/>
      <c r="AE27" s="1506"/>
      <c r="AF27" s="1599"/>
      <c r="AG27" s="1787"/>
      <c r="AH27" s="1787"/>
      <c r="AI27" s="1506"/>
      <c r="AJ27" s="1505"/>
      <c r="AK27" s="1787"/>
      <c r="AL27" s="1787"/>
      <c r="AM27" s="1506"/>
    </row>
    <row r="28" spans="1:39" ht="34.5" customHeight="1">
      <c r="A28" s="1436">
        <v>3</v>
      </c>
      <c r="B28" s="3256" t="s">
        <v>67</v>
      </c>
      <c r="C28" s="3369" t="s">
        <v>67</v>
      </c>
      <c r="D28" s="3369" t="s">
        <v>67</v>
      </c>
      <c r="E28" s="3257" t="s">
        <v>67</v>
      </c>
      <c r="F28" s="21" t="s">
        <v>104</v>
      </c>
      <c r="G28" s="1006" t="str">
        <f>'XM.GUI MAIL'!$E$65</f>
        <v>40~60</v>
      </c>
      <c r="H28" s="2222" t="str">
        <f>'XM.GUI MAIL'!$F$65</f>
        <v>(50±5)</v>
      </c>
      <c r="I28" s="3096">
        <f>'XM.GUI MAIL'!AD65</f>
        <v>53</v>
      </c>
      <c r="J28" s="3086"/>
      <c r="K28" s="3095">
        <f>'XM.GUI MAIL'!AG65</f>
        <v>52</v>
      </c>
      <c r="L28" s="3086"/>
      <c r="M28" s="3095">
        <f>'XM.GUI MAIL'!AK65</f>
        <v>52</v>
      </c>
      <c r="N28" s="3086"/>
      <c r="O28" s="3095">
        <f>'XM.GUI MAIL'!AN65</f>
        <v>51</v>
      </c>
      <c r="P28" s="3086"/>
      <c r="Q28" s="3095">
        <f>'XM.GUI MAIL'!AR65</f>
        <v>53</v>
      </c>
      <c r="R28" s="3086"/>
      <c r="S28" s="3095">
        <f>'XM.GUI MAIL'!AU65</f>
        <v>52</v>
      </c>
      <c r="T28" s="3086"/>
      <c r="U28" s="20"/>
      <c r="W28" s="1441">
        <v>3</v>
      </c>
      <c r="X28" s="3256" t="s">
        <v>67</v>
      </c>
      <c r="Y28" s="3369" t="s">
        <v>67</v>
      </c>
      <c r="Z28" s="3369" t="s">
        <v>67</v>
      </c>
      <c r="AA28" s="3257" t="s">
        <v>67</v>
      </c>
      <c r="AB28" s="1505"/>
      <c r="AC28" s="1787"/>
      <c r="AD28" s="1787"/>
      <c r="AE28" s="1506"/>
      <c r="AF28" s="1599"/>
      <c r="AG28" s="1787"/>
      <c r="AH28" s="1787"/>
      <c r="AI28" s="1506"/>
      <c r="AJ28" s="1505"/>
      <c r="AK28" s="1787"/>
      <c r="AL28" s="1787"/>
      <c r="AM28" s="1506"/>
    </row>
    <row r="29" spans="1:39" ht="34.5" customHeight="1">
      <c r="A29" s="1436">
        <v>4</v>
      </c>
      <c r="B29" s="3256" t="s">
        <v>66</v>
      </c>
      <c r="C29" s="3369" t="s">
        <v>66</v>
      </c>
      <c r="D29" s="3369" t="s">
        <v>66</v>
      </c>
      <c r="E29" s="3257" t="s">
        <v>66</v>
      </c>
      <c r="F29" s="21" t="s">
        <v>104</v>
      </c>
      <c r="G29" s="1006" t="str">
        <f>'XM.GUI MAIL'!$E$66</f>
        <v>40~60</v>
      </c>
      <c r="H29" s="2222" t="str">
        <f>'XM.GUI MAIL'!$F$66</f>
        <v>(50±5)</v>
      </c>
      <c r="I29" s="3096">
        <f>'XM.GUI MAIL'!AD66</f>
        <v>49</v>
      </c>
      <c r="J29" s="3086"/>
      <c r="K29" s="3095">
        <f>'XM.GUI MAIL'!AG66</f>
        <v>48</v>
      </c>
      <c r="L29" s="3086"/>
      <c r="M29" s="3095">
        <f>'XM.GUI MAIL'!AK66</f>
        <v>51</v>
      </c>
      <c r="N29" s="3086"/>
      <c r="O29" s="3095">
        <f>'XM.GUI MAIL'!AN66</f>
        <v>50</v>
      </c>
      <c r="P29" s="3086"/>
      <c r="Q29" s="3095">
        <f>'XM.GUI MAIL'!AR66</f>
        <v>49</v>
      </c>
      <c r="R29" s="3086"/>
      <c r="S29" s="3095">
        <f>'XM.GUI MAIL'!AU66</f>
        <v>48</v>
      </c>
      <c r="T29" s="3086"/>
      <c r="U29" s="20"/>
      <c r="W29" s="1441">
        <v>4</v>
      </c>
      <c r="X29" s="3256" t="s">
        <v>66</v>
      </c>
      <c r="Y29" s="3369" t="s">
        <v>66</v>
      </c>
      <c r="Z29" s="3369" t="s">
        <v>66</v>
      </c>
      <c r="AA29" s="3257" t="s">
        <v>66</v>
      </c>
      <c r="AB29" s="1505"/>
      <c r="AC29" s="1787"/>
      <c r="AD29" s="1787"/>
      <c r="AE29" s="1506"/>
      <c r="AF29" s="1599"/>
      <c r="AG29" s="1787"/>
      <c r="AH29" s="1787"/>
      <c r="AI29" s="1506"/>
      <c r="AJ29" s="1505"/>
      <c r="AK29" s="1787"/>
      <c r="AL29" s="1787"/>
      <c r="AM29" s="1506"/>
    </row>
    <row r="30" spans="1:39" ht="34.5" customHeight="1">
      <c r="A30" s="1436">
        <v>5</v>
      </c>
      <c r="B30" s="3256" t="s">
        <v>68</v>
      </c>
      <c r="C30" s="3369" t="s">
        <v>68</v>
      </c>
      <c r="D30" s="3369" t="s">
        <v>68</v>
      </c>
      <c r="E30" s="3257" t="s">
        <v>68</v>
      </c>
      <c r="F30" s="21" t="s">
        <v>104</v>
      </c>
      <c r="G30" s="1006" t="str">
        <f>'XM.GUI MAIL'!$E$67</f>
        <v>20~35</v>
      </c>
      <c r="H30" s="2222" t="str">
        <f>'XM.GUI MAIL'!$F$67</f>
        <v>(30±4)</v>
      </c>
      <c r="I30" s="3195">
        <f>'XM.GUI MAIL'!AD67</f>
        <v>30</v>
      </c>
      <c r="J30" s="3121"/>
      <c r="K30" s="3121">
        <f>'XM.GUI MAIL'!AG67</f>
        <v>29</v>
      </c>
      <c r="L30" s="3121"/>
      <c r="M30" s="3121">
        <f>'XM.GUI MAIL'!AK67</f>
        <v>30</v>
      </c>
      <c r="N30" s="3121"/>
      <c r="O30" s="3121">
        <f>'XM.GUI MAIL'!AN67</f>
        <v>29</v>
      </c>
      <c r="P30" s="3121"/>
      <c r="Q30" s="3121">
        <f>'XM.GUI MAIL'!AR67</f>
        <v>29</v>
      </c>
      <c r="R30" s="3121"/>
      <c r="S30" s="3121">
        <f>'XM.GUI MAIL'!AU67</f>
        <v>29</v>
      </c>
      <c r="T30" s="3121"/>
      <c r="U30" s="20"/>
      <c r="W30" s="1441">
        <v>5</v>
      </c>
      <c r="X30" s="3256" t="s">
        <v>68</v>
      </c>
      <c r="Y30" s="3369" t="s">
        <v>68</v>
      </c>
      <c r="Z30" s="3369" t="s">
        <v>68</v>
      </c>
      <c r="AA30" s="3257" t="s">
        <v>68</v>
      </c>
      <c r="AB30" s="1505"/>
      <c r="AC30" s="1787"/>
      <c r="AD30" s="1787"/>
      <c r="AE30" s="1506"/>
      <c r="AF30" s="1599"/>
      <c r="AG30" s="1787"/>
      <c r="AH30" s="1787"/>
      <c r="AI30" s="1506"/>
      <c r="AJ30" s="1505"/>
      <c r="AK30" s="1787"/>
      <c r="AL30" s="1787"/>
      <c r="AM30" s="1506"/>
    </row>
    <row r="31" spans="1:39" ht="34.5" customHeight="1">
      <c r="A31" s="1436">
        <v>6</v>
      </c>
      <c r="B31" s="3256" t="s">
        <v>972</v>
      </c>
      <c r="C31" s="3369" t="s">
        <v>972</v>
      </c>
      <c r="D31" s="3369" t="s">
        <v>972</v>
      </c>
      <c r="E31" s="3257" t="s">
        <v>972</v>
      </c>
      <c r="F31" s="21" t="s">
        <v>104</v>
      </c>
      <c r="G31" s="1006" t="str">
        <f>'XM.GUI MAIL'!$E$68</f>
        <v>30-38</v>
      </c>
      <c r="H31" s="2222" t="str">
        <f>'XM.GUI MAIL'!$F$68</f>
        <v>(34±2)</v>
      </c>
      <c r="I31" s="3195">
        <f>'XM.GUI MAIL'!AD68</f>
        <v>38</v>
      </c>
      <c r="J31" s="3121"/>
      <c r="K31" s="3121">
        <f>'XM.GUI MAIL'!AG68</f>
        <v>38</v>
      </c>
      <c r="L31" s="3121"/>
      <c r="M31" s="3121">
        <f>'XM.GUI MAIL'!AK68</f>
        <v>37</v>
      </c>
      <c r="N31" s="3121"/>
      <c r="O31" s="3121">
        <f>'XM.GUI MAIL'!AN68</f>
        <v>37</v>
      </c>
      <c r="P31" s="3121"/>
      <c r="Q31" s="3121">
        <f>'XM.GUI MAIL'!AR68</f>
        <v>37</v>
      </c>
      <c r="R31" s="3121"/>
      <c r="S31" s="3121">
        <f>'XM.GUI MAIL'!AU68</f>
        <v>37</v>
      </c>
      <c r="T31" s="3121"/>
      <c r="U31" s="22"/>
      <c r="W31" s="1441">
        <v>6</v>
      </c>
      <c r="X31" s="3256" t="s">
        <v>972</v>
      </c>
      <c r="Y31" s="3369" t="s">
        <v>972</v>
      </c>
      <c r="Z31" s="3369" t="s">
        <v>972</v>
      </c>
      <c r="AA31" s="3257" t="s">
        <v>972</v>
      </c>
      <c r="AB31" s="1505"/>
      <c r="AC31" s="1787"/>
      <c r="AD31" s="1787"/>
      <c r="AE31" s="1506"/>
      <c r="AF31" s="1599"/>
      <c r="AG31" s="1787"/>
      <c r="AH31" s="1787"/>
      <c r="AI31" s="1506"/>
      <c r="AJ31" s="1505"/>
      <c r="AK31" s="1787"/>
      <c r="AL31" s="1787"/>
      <c r="AM31" s="1506"/>
    </row>
    <row r="32" spans="1:39" ht="34.5" customHeight="1">
      <c r="A32" s="1436">
        <v>7</v>
      </c>
      <c r="B32" s="3256" t="s">
        <v>69</v>
      </c>
      <c r="C32" s="3369" t="s">
        <v>69</v>
      </c>
      <c r="D32" s="3369" t="s">
        <v>69</v>
      </c>
      <c r="E32" s="3257" t="s">
        <v>69</v>
      </c>
      <c r="F32" s="21" t="s">
        <v>104</v>
      </c>
      <c r="G32" s="1006" t="str">
        <f>'XM.GUI MAIL'!$E$69</f>
        <v>50~70</v>
      </c>
      <c r="H32" s="2222" t="str">
        <f>'XM.GUI MAIL'!$F$69</f>
        <v>(60±10)</v>
      </c>
      <c r="I32" s="3195">
        <f>'XM.GUI MAIL'!AD69</f>
        <v>55</v>
      </c>
      <c r="J32" s="3121"/>
      <c r="K32" s="3121">
        <f>'XM.GUI MAIL'!AG69</f>
        <v>54</v>
      </c>
      <c r="L32" s="3121"/>
      <c r="M32" s="3121">
        <f>'XM.GUI MAIL'!AK69</f>
        <v>55</v>
      </c>
      <c r="N32" s="3121"/>
      <c r="O32" s="3121">
        <f>'XM.GUI MAIL'!AN69</f>
        <v>54</v>
      </c>
      <c r="P32" s="3121"/>
      <c r="Q32" s="3121">
        <f>'XM.GUI MAIL'!AR69</f>
        <v>54</v>
      </c>
      <c r="R32" s="3121"/>
      <c r="S32" s="3121">
        <f>'XM.GUI MAIL'!AU69</f>
        <v>53</v>
      </c>
      <c r="T32" s="3121"/>
      <c r="U32" s="20"/>
      <c r="W32" s="1441">
        <v>7</v>
      </c>
      <c r="X32" s="3256" t="s">
        <v>69</v>
      </c>
      <c r="Y32" s="3369" t="s">
        <v>69</v>
      </c>
      <c r="Z32" s="3369" t="s">
        <v>69</v>
      </c>
      <c r="AA32" s="3257" t="s">
        <v>69</v>
      </c>
      <c r="AB32" s="1505"/>
      <c r="AC32" s="1787"/>
      <c r="AD32" s="1787"/>
      <c r="AE32" s="1506"/>
      <c r="AF32" s="1599"/>
      <c r="AG32" s="1787"/>
      <c r="AH32" s="1787"/>
      <c r="AI32" s="1506"/>
      <c r="AJ32" s="1505"/>
      <c r="AK32" s="1787"/>
      <c r="AL32" s="1787"/>
      <c r="AM32" s="1506"/>
    </row>
    <row r="33" spans="1:39" ht="34.5" customHeight="1">
      <c r="A33" s="1436">
        <v>8</v>
      </c>
      <c r="B33" s="3370" t="s">
        <v>70</v>
      </c>
      <c r="C33" s="3371" t="s">
        <v>70</v>
      </c>
      <c r="D33" s="3371" t="s">
        <v>70</v>
      </c>
      <c r="E33" s="3372" t="s">
        <v>70</v>
      </c>
      <c r="F33" s="21" t="s">
        <v>104</v>
      </c>
      <c r="G33" s="1006" t="str">
        <f>'XM.GUI MAIL'!$E$70</f>
        <v>80~100</v>
      </c>
      <c r="H33" s="2227" t="str">
        <f>'XM.GUI MAIL'!$F$70</f>
        <v>(90±5)</v>
      </c>
      <c r="I33" s="3214" t="s">
        <v>46</v>
      </c>
      <c r="J33" s="3203"/>
      <c r="K33" s="3086">
        <f>'XM.GUI MAIL'!AG70</f>
        <v>90</v>
      </c>
      <c r="L33" s="3086"/>
      <c r="M33" s="3202" t="s">
        <v>46</v>
      </c>
      <c r="N33" s="3203"/>
      <c r="O33" s="3086">
        <f>'XM.GUI MAIL'!AN70</f>
        <v>86</v>
      </c>
      <c r="P33" s="3086"/>
      <c r="Q33" s="3202" t="s">
        <v>46</v>
      </c>
      <c r="R33" s="3203"/>
      <c r="S33" s="3086">
        <f>'XM.GUI MAIL'!AU70</f>
        <v>89</v>
      </c>
      <c r="T33" s="3086"/>
      <c r="U33" s="20"/>
      <c r="W33" s="1441">
        <v>8</v>
      </c>
      <c r="X33" s="3370" t="s">
        <v>70</v>
      </c>
      <c r="Y33" s="3371" t="s">
        <v>70</v>
      </c>
      <c r="Z33" s="3371" t="s">
        <v>70</v>
      </c>
      <c r="AA33" s="3372" t="s">
        <v>70</v>
      </c>
      <c r="AB33" s="1505"/>
      <c r="AC33" s="1787"/>
      <c r="AD33" s="1787"/>
      <c r="AE33" s="1506"/>
      <c r="AF33" s="1785"/>
      <c r="AG33" s="1784"/>
      <c r="AH33" s="1784"/>
      <c r="AI33" s="1507"/>
      <c r="AJ33" s="1785"/>
      <c r="AK33" s="1784"/>
      <c r="AL33" s="1784"/>
      <c r="AM33" s="1507"/>
    </row>
    <row r="34" spans="1:39" ht="36.75" customHeight="1">
      <c r="A34" s="1427"/>
      <c r="B34" s="254"/>
      <c r="C34" s="255"/>
      <c r="D34" s="255"/>
      <c r="E34" s="255"/>
      <c r="F34" s="255"/>
      <c r="G34" s="257" t="s">
        <v>109</v>
      </c>
      <c r="H34" s="2226"/>
      <c r="I34" s="255"/>
      <c r="J34" s="255"/>
      <c r="K34" s="255"/>
      <c r="L34" s="255"/>
      <c r="M34" s="255"/>
      <c r="N34" s="255"/>
      <c r="O34" s="255"/>
      <c r="P34" s="255"/>
      <c r="Q34" s="255"/>
      <c r="R34" s="255"/>
      <c r="S34" s="255"/>
      <c r="T34" s="255"/>
      <c r="U34" s="256"/>
      <c r="W34" s="1439"/>
      <c r="X34" s="254"/>
      <c r="Y34" s="255"/>
      <c r="Z34" s="255"/>
      <c r="AA34" s="255"/>
      <c r="AB34" s="255"/>
      <c r="AC34" s="255"/>
      <c r="AD34" s="255"/>
      <c r="AE34" s="255"/>
      <c r="AF34" s="1802"/>
      <c r="AG34" s="1798"/>
      <c r="AH34" s="1798"/>
      <c r="AJ34" s="1802"/>
      <c r="AK34" s="1802"/>
      <c r="AL34" s="1802"/>
      <c r="AM34" s="1802"/>
    </row>
    <row r="35" spans="1:39" ht="35.25" customHeight="1">
      <c r="A35" s="1436" t="s">
        <v>7</v>
      </c>
      <c r="B35" s="3256" t="s">
        <v>91</v>
      </c>
      <c r="C35" s="3369"/>
      <c r="D35" s="3369"/>
      <c r="E35" s="3257"/>
      <c r="F35" s="1435" t="s">
        <v>92</v>
      </c>
      <c r="G35" s="975" t="s">
        <v>1296</v>
      </c>
      <c r="H35" s="2204" t="s">
        <v>1289</v>
      </c>
      <c r="I35" s="3371" t="s">
        <v>110</v>
      </c>
      <c r="J35" s="3371"/>
      <c r="K35" s="3371"/>
      <c r="L35" s="3372"/>
      <c r="M35" s="3370" t="s">
        <v>110</v>
      </c>
      <c r="N35" s="3371"/>
      <c r="O35" s="3371"/>
      <c r="P35" s="3372"/>
      <c r="Q35" s="3370" t="s">
        <v>110</v>
      </c>
      <c r="R35" s="3371"/>
      <c r="S35" s="3371"/>
      <c r="T35" s="3372"/>
      <c r="U35" s="1433"/>
      <c r="W35" s="1441" t="s">
        <v>7</v>
      </c>
      <c r="X35" s="3256" t="s">
        <v>91</v>
      </c>
      <c r="Y35" s="3369"/>
      <c r="Z35" s="3369"/>
      <c r="AA35" s="3257"/>
      <c r="AB35" s="3366" t="s">
        <v>1345</v>
      </c>
      <c r="AC35" s="3199"/>
      <c r="AD35" s="3199"/>
      <c r="AE35" s="3200"/>
      <c r="AF35" s="3366" t="s">
        <v>1345</v>
      </c>
      <c r="AG35" s="3199"/>
      <c r="AH35" s="3199"/>
      <c r="AI35" s="3200"/>
      <c r="AJ35" s="3366" t="s">
        <v>1345</v>
      </c>
      <c r="AK35" s="3199"/>
      <c r="AL35" s="3199"/>
      <c r="AM35" s="3200"/>
    </row>
    <row r="36" spans="1:39" ht="42.75" customHeight="1">
      <c r="A36" s="1427">
        <v>1</v>
      </c>
      <c r="B36" s="3410" t="s">
        <v>225</v>
      </c>
      <c r="C36" s="3411"/>
      <c r="D36" s="3411"/>
      <c r="E36" s="3412"/>
      <c r="F36" s="2883" t="s">
        <v>1641</v>
      </c>
      <c r="G36" s="266" t="str">
        <f>'XM.GUI MAIL'!$E$72</f>
        <v>100-200</v>
      </c>
      <c r="H36" s="1890" t="str">
        <f>'XM.GUI MAIL'!$F$72</f>
        <v>100-200</v>
      </c>
      <c r="I36" s="3357">
        <f>'XM.GUI MAIL'!AD72</f>
        <v>160</v>
      </c>
      <c r="J36" s="3357"/>
      <c r="K36" s="3357"/>
      <c r="L36" s="3357"/>
      <c r="M36" s="3295">
        <f>'XM.GUI MAIL'!AK72</f>
        <v>165</v>
      </c>
      <c r="N36" s="3357"/>
      <c r="O36" s="3357"/>
      <c r="P36" s="3357"/>
      <c r="Q36" s="3295">
        <f>'XM.GUI MAIL'!AR72</f>
        <v>165</v>
      </c>
      <c r="R36" s="3357"/>
      <c r="S36" s="3357"/>
      <c r="T36" s="3357"/>
      <c r="U36" s="22"/>
      <c r="W36" s="1439">
        <v>1</v>
      </c>
      <c r="X36" s="3410" t="s">
        <v>225</v>
      </c>
      <c r="Y36" s="3411"/>
      <c r="Z36" s="3411"/>
      <c r="AA36" s="3412"/>
      <c r="AB36" s="1505"/>
      <c r="AC36" s="1787"/>
      <c r="AD36" s="1787"/>
      <c r="AE36" s="1506"/>
      <c r="AF36" s="1599"/>
      <c r="AG36" s="1787"/>
      <c r="AH36" s="1787"/>
      <c r="AI36" s="1506"/>
      <c r="AJ36" s="1505"/>
      <c r="AK36" s="1787"/>
      <c r="AL36" s="1787"/>
      <c r="AM36" s="1506"/>
    </row>
    <row r="37" spans="1:39" ht="42.75" customHeight="1">
      <c r="A37" s="1427">
        <v>2</v>
      </c>
      <c r="B37" s="3410" t="s">
        <v>226</v>
      </c>
      <c r="C37" s="3411"/>
      <c r="D37" s="3411"/>
      <c r="E37" s="3412"/>
      <c r="F37" s="2883" t="s">
        <v>1641</v>
      </c>
      <c r="G37" s="266" t="str">
        <f>'XM.GUI MAIL'!$E$73</f>
        <v>20-50</v>
      </c>
      <c r="H37" s="1890" t="str">
        <f>'XM.GUI MAIL'!$F$73</f>
        <v>20-50</v>
      </c>
      <c r="I37" s="3357">
        <f>'XM.GUI MAIL'!AD73</f>
        <v>24</v>
      </c>
      <c r="J37" s="3357"/>
      <c r="K37" s="3357"/>
      <c r="L37" s="3357"/>
      <c r="M37" s="3295">
        <f>'XM.GUI MAIL'!AK73</f>
        <v>27</v>
      </c>
      <c r="N37" s="3357"/>
      <c r="O37" s="3357"/>
      <c r="P37" s="3357"/>
      <c r="Q37" s="3295">
        <f>'XM.GUI MAIL'!AR73</f>
        <v>29</v>
      </c>
      <c r="R37" s="3357"/>
      <c r="S37" s="3357"/>
      <c r="T37" s="3357"/>
      <c r="U37" s="22"/>
      <c r="W37" s="1439">
        <v>2</v>
      </c>
      <c r="X37" s="3410" t="s">
        <v>226</v>
      </c>
      <c r="Y37" s="3411"/>
      <c r="Z37" s="3411"/>
      <c r="AA37" s="3412"/>
      <c r="AB37" s="1501"/>
      <c r="AC37" s="1784"/>
      <c r="AD37" s="1784"/>
      <c r="AE37" s="1507"/>
      <c r="AF37" s="1785"/>
      <c r="AG37" s="1784"/>
      <c r="AH37" s="1784"/>
      <c r="AI37" s="1507"/>
      <c r="AJ37" s="1501"/>
      <c r="AK37" s="1784"/>
      <c r="AL37" s="1784"/>
      <c r="AM37" s="1507"/>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1996" priority="1099">
      <formula>I36&lt;100</formula>
    </cfRule>
    <cfRule type="expression" dxfId="1995" priority="1100">
      <formula>I36&gt;200</formula>
    </cfRule>
  </conditionalFormatting>
  <conditionalFormatting sqref="I37 M37 Q37">
    <cfRule type="expression" dxfId="1994" priority="1097">
      <formula>I37&lt;20</formula>
    </cfRule>
    <cfRule type="expression" dxfId="1993" priority="1098">
      <formula>I37&gt;50</formula>
    </cfRule>
  </conditionalFormatting>
  <conditionalFormatting sqref="K30:L30">
    <cfRule type="cellIs" dxfId="1992" priority="337" operator="between">
      <formula>22</formula>
      <formula>25.99</formula>
    </cfRule>
    <cfRule type="cellIs" dxfId="1991" priority="338" operator="between">
      <formula>34.1</formula>
      <formula>35</formula>
    </cfRule>
    <cfRule type="expression" dxfId="1990" priority="339">
      <formula>K30&lt;22</formula>
    </cfRule>
    <cfRule type="expression" dxfId="1989" priority="340">
      <formula>K30&gt;35</formula>
    </cfRule>
  </conditionalFormatting>
  <conditionalFormatting sqref="K31:L31">
    <cfRule type="cellIs" dxfId="1988" priority="333" operator="between">
      <formula>30</formula>
      <formula>31.99</formula>
    </cfRule>
    <cfRule type="cellIs" dxfId="1987" priority="334" operator="between">
      <formula>36.1</formula>
      <formula>38</formula>
    </cfRule>
    <cfRule type="expression" dxfId="1986" priority="335">
      <formula>K31&lt;30</formula>
    </cfRule>
    <cfRule type="expression" dxfId="1985" priority="336">
      <formula>K31&gt;38</formula>
    </cfRule>
  </conditionalFormatting>
  <conditionalFormatting sqref="K33">
    <cfRule type="cellIs" dxfId="1984" priority="329" operator="between">
      <formula>80</formula>
      <formula>84.9</formula>
    </cfRule>
    <cfRule type="cellIs" dxfId="1983" priority="330" operator="between">
      <formula>95.1</formula>
      <formula>100</formula>
    </cfRule>
    <cfRule type="expression" dxfId="1982" priority="331">
      <formula>K33&lt;80</formula>
    </cfRule>
    <cfRule type="expression" dxfId="1981" priority="332">
      <formula>K33&gt;100</formula>
    </cfRule>
  </conditionalFormatting>
  <conditionalFormatting sqref="K26:L27">
    <cfRule type="cellIs" dxfId="1980" priority="325" operator="between">
      <formula>50</formula>
      <formula>54.9</formula>
    </cfRule>
    <cfRule type="cellIs" dxfId="1979" priority="326" operator="between">
      <formula>65.1</formula>
      <formula>70</formula>
    </cfRule>
    <cfRule type="expression" dxfId="1978" priority="327">
      <formula>K26&lt;50</formula>
    </cfRule>
    <cfRule type="expression" dxfId="1977" priority="328">
      <formula>K26&gt;70</formula>
    </cfRule>
  </conditionalFormatting>
  <conditionalFormatting sqref="K32">
    <cfRule type="expression" dxfId="1976" priority="320">
      <formula>K32&lt;50</formula>
    </cfRule>
    <cfRule type="expression" dxfId="1975" priority="321">
      <formula>K32&gt;70</formula>
    </cfRule>
  </conditionalFormatting>
  <conditionalFormatting sqref="I30:J30">
    <cfRule type="cellIs" dxfId="1974" priority="313" operator="between">
      <formula>22</formula>
      <formula>25.99</formula>
    </cfRule>
    <cfRule type="cellIs" dxfId="1973" priority="314" operator="between">
      <formula>34.1</formula>
      <formula>35</formula>
    </cfRule>
    <cfRule type="expression" dxfId="1972" priority="315">
      <formula>I30&lt;22</formula>
    </cfRule>
    <cfRule type="expression" dxfId="1971" priority="316">
      <formula>I30&gt;35</formula>
    </cfRule>
  </conditionalFormatting>
  <conditionalFormatting sqref="I31:J31">
    <cfRule type="cellIs" dxfId="1970" priority="309" operator="between">
      <formula>30</formula>
      <formula>31.99</formula>
    </cfRule>
    <cfRule type="cellIs" dxfId="1969" priority="310" operator="between">
      <formula>36.1</formula>
      <formula>38</formula>
    </cfRule>
    <cfRule type="expression" dxfId="1968" priority="311">
      <formula>I31&lt;30</formula>
    </cfRule>
    <cfRule type="expression" dxfId="1967" priority="312">
      <formula>I31&gt;38</formula>
    </cfRule>
  </conditionalFormatting>
  <conditionalFormatting sqref="I26:J27">
    <cfRule type="cellIs" dxfId="1966" priority="305" operator="between">
      <formula>50</formula>
      <formula>54.9</formula>
    </cfRule>
    <cfRule type="cellIs" dxfId="1965" priority="306" operator="between">
      <formula>65.1</formula>
      <formula>70</formula>
    </cfRule>
    <cfRule type="expression" dxfId="1964" priority="307">
      <formula>I26&lt;50</formula>
    </cfRule>
    <cfRule type="expression" dxfId="1963" priority="308">
      <formula>I26&gt;70</formula>
    </cfRule>
  </conditionalFormatting>
  <conditionalFormatting sqref="I32">
    <cfRule type="expression" dxfId="1962" priority="300">
      <formula>I32&lt;50</formula>
    </cfRule>
    <cfRule type="expression" dxfId="1961" priority="301">
      <formula>I32&gt;70</formula>
    </cfRule>
  </conditionalFormatting>
  <conditionalFormatting sqref="O30:P30">
    <cfRule type="cellIs" dxfId="1960" priority="293" operator="between">
      <formula>22</formula>
      <formula>25.99</formula>
    </cfRule>
    <cfRule type="cellIs" dxfId="1959" priority="294" operator="between">
      <formula>34.1</formula>
      <formula>35</formula>
    </cfRule>
    <cfRule type="expression" dxfId="1958" priority="295">
      <formula>O30&lt;22</formula>
    </cfRule>
    <cfRule type="expression" dxfId="1957" priority="296">
      <formula>O30&gt;35</formula>
    </cfRule>
  </conditionalFormatting>
  <conditionalFormatting sqref="O31:P31">
    <cfRule type="cellIs" dxfId="1956" priority="289" operator="between">
      <formula>30</formula>
      <formula>31.99</formula>
    </cfRule>
    <cfRule type="cellIs" dxfId="1955" priority="290" operator="between">
      <formula>36.1</formula>
      <formula>38</formula>
    </cfRule>
    <cfRule type="expression" dxfId="1954" priority="291">
      <formula>O31&lt;30</formula>
    </cfRule>
    <cfRule type="expression" dxfId="1953" priority="292">
      <formula>O31&gt;38</formula>
    </cfRule>
  </conditionalFormatting>
  <conditionalFormatting sqref="O33">
    <cfRule type="cellIs" dxfId="1952" priority="285" operator="between">
      <formula>80</formula>
      <formula>84.9</formula>
    </cfRule>
    <cfRule type="cellIs" dxfId="1951" priority="286" operator="between">
      <formula>95.1</formula>
      <formula>100</formula>
    </cfRule>
    <cfRule type="expression" dxfId="1950" priority="287">
      <formula>O33&lt;80</formula>
    </cfRule>
    <cfRule type="expression" dxfId="1949" priority="288">
      <formula>O33&gt;100</formula>
    </cfRule>
  </conditionalFormatting>
  <conditionalFormatting sqref="O26:P27">
    <cfRule type="cellIs" dxfId="1948" priority="281" operator="between">
      <formula>50</formula>
      <formula>54.9</formula>
    </cfRule>
    <cfRule type="cellIs" dxfId="1947" priority="282" operator="between">
      <formula>65.1</formula>
      <formula>70</formula>
    </cfRule>
    <cfRule type="expression" dxfId="1946" priority="283">
      <formula>O26&lt;50</formula>
    </cfRule>
    <cfRule type="expression" dxfId="1945" priority="284">
      <formula>O26&gt;70</formula>
    </cfRule>
  </conditionalFormatting>
  <conditionalFormatting sqref="O32">
    <cfRule type="expression" dxfId="1944" priority="276">
      <formula>O32&lt;50</formula>
    </cfRule>
    <cfRule type="expression" dxfId="1943" priority="277">
      <formula>O32&gt;70</formula>
    </cfRule>
  </conditionalFormatting>
  <conditionalFormatting sqref="M30:N30">
    <cfRule type="cellIs" dxfId="1942" priority="269" operator="between">
      <formula>22</formula>
      <formula>25.99</formula>
    </cfRule>
    <cfRule type="cellIs" dxfId="1941" priority="270" operator="between">
      <formula>34.1</formula>
      <formula>35</formula>
    </cfRule>
    <cfRule type="expression" dxfId="1940" priority="271">
      <formula>M30&lt;22</formula>
    </cfRule>
    <cfRule type="expression" dxfId="1939" priority="272">
      <formula>M30&gt;35</formula>
    </cfRule>
  </conditionalFormatting>
  <conditionalFormatting sqref="M31:N31">
    <cfRule type="cellIs" dxfId="1938" priority="265" operator="between">
      <formula>30</formula>
      <formula>31.99</formula>
    </cfRule>
    <cfRule type="cellIs" dxfId="1937" priority="266" operator="between">
      <formula>36.1</formula>
      <formula>38</formula>
    </cfRule>
    <cfRule type="expression" dxfId="1936" priority="267">
      <formula>M31&lt;30</formula>
    </cfRule>
    <cfRule type="expression" dxfId="1935" priority="268">
      <formula>M31&gt;38</formula>
    </cfRule>
  </conditionalFormatting>
  <conditionalFormatting sqref="M26:N27">
    <cfRule type="cellIs" dxfId="1934" priority="261" operator="between">
      <formula>50</formula>
      <formula>54.9</formula>
    </cfRule>
    <cfRule type="cellIs" dxfId="1933" priority="262" operator="between">
      <formula>65.1</formula>
      <formula>70</formula>
    </cfRule>
    <cfRule type="expression" dxfId="1932" priority="263">
      <formula>M26&lt;50</formula>
    </cfRule>
    <cfRule type="expression" dxfId="1931" priority="264">
      <formula>M26&gt;70</formula>
    </cfRule>
  </conditionalFormatting>
  <conditionalFormatting sqref="M32">
    <cfRule type="expression" dxfId="1930" priority="256">
      <formula>M32&lt;50</formula>
    </cfRule>
    <cfRule type="expression" dxfId="1929" priority="257">
      <formula>M32&gt;70</formula>
    </cfRule>
  </conditionalFormatting>
  <conditionalFormatting sqref="S30:T30">
    <cfRule type="cellIs" dxfId="1928" priority="249" operator="between">
      <formula>22</formula>
      <formula>25.99</formula>
    </cfRule>
    <cfRule type="cellIs" dxfId="1927" priority="250" operator="between">
      <formula>34.1</formula>
      <formula>35</formula>
    </cfRule>
    <cfRule type="expression" dxfId="1926" priority="251">
      <formula>S30&lt;22</formula>
    </cfRule>
    <cfRule type="expression" dxfId="1925" priority="252">
      <formula>S30&gt;35</formula>
    </cfRule>
  </conditionalFormatting>
  <conditionalFormatting sqref="S31:T31">
    <cfRule type="cellIs" dxfId="1924" priority="245" operator="between">
      <formula>30</formula>
      <formula>31.99</formula>
    </cfRule>
    <cfRule type="cellIs" dxfId="1923" priority="246" operator="between">
      <formula>36.1</formula>
      <formula>38</formula>
    </cfRule>
    <cfRule type="expression" dxfId="1922" priority="247">
      <formula>S31&lt;30</formula>
    </cfRule>
    <cfRule type="expression" dxfId="1921" priority="248">
      <formula>S31&gt;38</formula>
    </cfRule>
  </conditionalFormatting>
  <conditionalFormatting sqref="S33">
    <cfRule type="cellIs" dxfId="1920" priority="241" operator="between">
      <formula>80</formula>
      <formula>84.9</formula>
    </cfRule>
    <cfRule type="cellIs" dxfId="1919" priority="242" operator="between">
      <formula>95.1</formula>
      <formula>100</formula>
    </cfRule>
    <cfRule type="expression" dxfId="1918" priority="243">
      <formula>S33&lt;80</formula>
    </cfRule>
    <cfRule type="expression" dxfId="1917" priority="244">
      <formula>S33&gt;100</formula>
    </cfRule>
  </conditionalFormatting>
  <conditionalFormatting sqref="S26:T27">
    <cfRule type="cellIs" dxfId="1916" priority="237" operator="between">
      <formula>50</formula>
      <formula>54.9</formula>
    </cfRule>
    <cfRule type="cellIs" dxfId="1915" priority="238" operator="between">
      <formula>65.1</formula>
      <formula>70</formula>
    </cfRule>
    <cfRule type="expression" dxfId="1914" priority="239">
      <formula>S26&lt;50</formula>
    </cfRule>
    <cfRule type="expression" dxfId="1913" priority="240">
      <formula>S26&gt;70</formula>
    </cfRule>
  </conditionalFormatting>
  <conditionalFormatting sqref="S32">
    <cfRule type="expression" dxfId="1912" priority="232">
      <formula>S32&lt;50</formula>
    </cfRule>
    <cfRule type="expression" dxfId="1911" priority="233">
      <formula>S32&gt;70</formula>
    </cfRule>
  </conditionalFormatting>
  <conditionalFormatting sqref="Q30:R30">
    <cfRule type="cellIs" dxfId="1910" priority="225" operator="between">
      <formula>22</formula>
      <formula>25.99</formula>
    </cfRule>
    <cfRule type="cellIs" dxfId="1909" priority="226" operator="between">
      <formula>34.1</formula>
      <formula>35</formula>
    </cfRule>
    <cfRule type="expression" dxfId="1908" priority="227">
      <formula>Q30&lt;22</formula>
    </cfRule>
    <cfRule type="expression" dxfId="1907" priority="228">
      <formula>Q30&gt;35</formula>
    </cfRule>
  </conditionalFormatting>
  <conditionalFormatting sqref="Q31:R31">
    <cfRule type="cellIs" dxfId="1906" priority="221" operator="between">
      <formula>30</formula>
      <formula>31.99</formula>
    </cfRule>
    <cfRule type="cellIs" dxfId="1905" priority="222" operator="between">
      <formula>36.1</formula>
      <formula>38</formula>
    </cfRule>
    <cfRule type="expression" dxfId="1904" priority="223">
      <formula>Q31&lt;30</formula>
    </cfRule>
    <cfRule type="expression" dxfId="1903" priority="224">
      <formula>Q31&gt;38</formula>
    </cfRule>
  </conditionalFormatting>
  <conditionalFormatting sqref="Q26:R27">
    <cfRule type="cellIs" dxfId="1902" priority="217" operator="between">
      <formula>50</formula>
      <formula>54.9</formula>
    </cfRule>
    <cfRule type="cellIs" dxfId="1901" priority="218" operator="between">
      <formula>65.1</formula>
      <formula>70</formula>
    </cfRule>
    <cfRule type="expression" dxfId="1900" priority="219">
      <formula>Q26&lt;50</formula>
    </cfRule>
    <cfRule type="expression" dxfId="1899" priority="220">
      <formula>Q26&gt;70</formula>
    </cfRule>
  </conditionalFormatting>
  <conditionalFormatting sqref="Q32">
    <cfRule type="expression" dxfId="1898" priority="212">
      <formula>Q32&lt;50</formula>
    </cfRule>
    <cfRule type="expression" dxfId="1897" priority="213">
      <formula>Q32&gt;70</formula>
    </cfRule>
  </conditionalFormatting>
  <conditionalFormatting sqref="I19">
    <cfRule type="cellIs" dxfId="1896" priority="208" operator="between">
      <formula>15%</formula>
      <formula>16.99%</formula>
    </cfRule>
    <cfRule type="cellIs" dxfId="1895" priority="209" operator="between">
      <formula>27.01%</formula>
      <formula>30%</formula>
    </cfRule>
    <cfRule type="expression" dxfId="1894" priority="210">
      <formula>I19&lt;15%</formula>
    </cfRule>
    <cfRule type="expression" dxfId="1893" priority="211">
      <formula>I19&gt;30%</formula>
    </cfRule>
  </conditionalFormatting>
  <conditionalFormatting sqref="I15">
    <cfRule type="expression" dxfId="1892" priority="206">
      <formula>I15&lt;8</formula>
    </cfRule>
    <cfRule type="expression" dxfId="1891" priority="207">
      <formula>I15&gt;12</formula>
    </cfRule>
  </conditionalFormatting>
  <conditionalFormatting sqref="I17">
    <cfRule type="cellIs" dxfId="1890" priority="202" operator="between">
      <formula>2</formula>
      <formula>2.199</formula>
    </cfRule>
    <cfRule type="cellIs" dxfId="1889" priority="203" operator="between">
      <formula>2.41</formula>
      <formula>2.5</formula>
    </cfRule>
    <cfRule type="expression" dxfId="1888" priority="204">
      <formula>I17&lt;2</formula>
    </cfRule>
    <cfRule type="expression" dxfId="1887" priority="205">
      <formula>I17&gt;2.5</formula>
    </cfRule>
  </conditionalFormatting>
  <conditionalFormatting sqref="I20">
    <cfRule type="expression" dxfId="1886" priority="200">
      <formula>I20&lt;5%</formula>
    </cfRule>
    <cfRule type="expression" dxfId="1885" priority="201">
      <formula>I20&gt;15%</formula>
    </cfRule>
  </conditionalFormatting>
  <conditionalFormatting sqref="I20">
    <cfRule type="cellIs" dxfId="1884" priority="198" operator="between">
      <formula>5%</formula>
      <formula>6.99%</formula>
    </cfRule>
    <cfRule type="cellIs" dxfId="1883" priority="199" operator="between">
      <formula>13.1%</formula>
      <formula>15%</formula>
    </cfRule>
  </conditionalFormatting>
  <conditionalFormatting sqref="I6 I8">
    <cfRule type="cellIs" dxfId="1882" priority="194" operator="between">
      <formula>60</formula>
      <formula>64.99</formula>
    </cfRule>
    <cfRule type="cellIs" dxfId="1881" priority="195" operator="between">
      <formula>75.1</formula>
      <formula>80</formula>
    </cfRule>
    <cfRule type="expression" dxfId="1880" priority="196">
      <formula>I6&lt;60</formula>
    </cfRule>
    <cfRule type="expression" dxfId="1879" priority="197">
      <formula>I6&gt;80</formula>
    </cfRule>
  </conditionalFormatting>
  <conditionalFormatting sqref="I16">
    <cfRule type="cellIs" dxfId="1878" priority="191" operator="between">
      <formula>8.01</formula>
      <formula>10</formula>
    </cfRule>
    <cfRule type="expression" dxfId="1877" priority="192">
      <formula>I16&lt;6</formula>
    </cfRule>
    <cfRule type="expression" dxfId="1876" priority="193">
      <formula>I16&gt;10</formula>
    </cfRule>
  </conditionalFormatting>
  <conditionalFormatting sqref="I18">
    <cfRule type="cellIs" dxfId="1875" priority="187" operator="between">
      <formula>30%</formula>
      <formula>39.99%</formula>
    </cfRule>
    <cfRule type="cellIs" dxfId="1874" priority="188" operator="between">
      <formula>50.01%</formula>
      <formula>60%</formula>
    </cfRule>
    <cfRule type="expression" dxfId="1873" priority="189">
      <formula>I18&lt;30%</formula>
    </cfRule>
    <cfRule type="expression" dxfId="1872" priority="190">
      <formula>I18&gt;60%</formula>
    </cfRule>
  </conditionalFormatting>
  <conditionalFormatting sqref="I10">
    <cfRule type="expression" dxfId="1871" priority="185">
      <formula>I10&lt;50</formula>
    </cfRule>
    <cfRule type="expression" dxfId="1870" priority="186">
      <formula>I10&gt;70</formula>
    </cfRule>
  </conditionalFormatting>
  <conditionalFormatting sqref="I12">
    <cfRule type="expression" dxfId="1869" priority="183">
      <formula>I12&lt;50</formula>
    </cfRule>
    <cfRule type="expression" dxfId="1868" priority="184">
      <formula>I12&gt;70</formula>
    </cfRule>
  </conditionalFormatting>
  <conditionalFormatting sqref="I14">
    <cfRule type="cellIs" dxfId="1867" priority="179" operator="between">
      <formula>130</formula>
      <formula>132.99</formula>
    </cfRule>
    <cfRule type="cellIs" dxfId="1866" priority="180" operator="between">
      <formula>147.1</formula>
      <formula>150</formula>
    </cfRule>
    <cfRule type="expression" dxfId="1865" priority="181">
      <formula>I14&lt;130</formula>
    </cfRule>
    <cfRule type="expression" dxfId="1864" priority="182">
      <formula>I14&gt;150</formula>
    </cfRule>
  </conditionalFormatting>
  <conditionalFormatting sqref="I21">
    <cfRule type="cellIs" dxfId="1863" priority="175" operator="between">
      <formula>0.5%</formula>
      <formula>0.599%</formula>
    </cfRule>
    <cfRule type="cellIs" dxfId="1862" priority="176" operator="between">
      <formula>1.41%</formula>
      <formula>1.5%</formula>
    </cfRule>
    <cfRule type="expression" dxfId="1861" priority="177">
      <formula>I21&lt;0.5%</formula>
    </cfRule>
    <cfRule type="expression" dxfId="1860" priority="178">
      <formula>I21&gt;1.5%</formula>
    </cfRule>
  </conditionalFormatting>
  <conditionalFormatting sqref="M19">
    <cfRule type="cellIs" dxfId="1859" priority="171" operator="between">
      <formula>15%</formula>
      <formula>16.99%</formula>
    </cfRule>
    <cfRule type="cellIs" dxfId="1858" priority="172" operator="between">
      <formula>27.01%</formula>
      <formula>30%</formula>
    </cfRule>
    <cfRule type="expression" dxfId="1857" priority="173">
      <formula>M19&lt;15%</formula>
    </cfRule>
    <cfRule type="expression" dxfId="1856" priority="174">
      <formula>M19&gt;30%</formula>
    </cfRule>
  </conditionalFormatting>
  <conditionalFormatting sqref="M15">
    <cfRule type="expression" dxfId="1855" priority="169">
      <formula>M15&lt;8</formula>
    </cfRule>
    <cfRule type="expression" dxfId="1854" priority="170">
      <formula>M15&gt;12</formula>
    </cfRule>
  </conditionalFormatting>
  <conditionalFormatting sqref="M17">
    <cfRule type="cellIs" dxfId="1853" priority="165" operator="between">
      <formula>2</formula>
      <formula>2.199</formula>
    </cfRule>
    <cfRule type="cellIs" dxfId="1852" priority="166" operator="between">
      <formula>2.41</formula>
      <formula>2.5</formula>
    </cfRule>
    <cfRule type="expression" dxfId="1851" priority="167">
      <formula>M17&lt;2</formula>
    </cfRule>
    <cfRule type="expression" dxfId="1850" priority="168">
      <formula>M17&gt;2.5</formula>
    </cfRule>
  </conditionalFormatting>
  <conditionalFormatting sqref="M20">
    <cfRule type="expression" dxfId="1849" priority="163">
      <formula>M20&lt;5%</formula>
    </cfRule>
    <cfRule type="expression" dxfId="1848" priority="164">
      <formula>M20&gt;15%</formula>
    </cfRule>
  </conditionalFormatting>
  <conditionalFormatting sqref="M20">
    <cfRule type="cellIs" dxfId="1847" priority="161" operator="between">
      <formula>5%</formula>
      <formula>6.99%</formula>
    </cfRule>
    <cfRule type="cellIs" dxfId="1846" priority="162" operator="between">
      <formula>13.1%</formula>
      <formula>15%</formula>
    </cfRule>
  </conditionalFormatting>
  <conditionalFormatting sqref="M6 M8">
    <cfRule type="cellIs" dxfId="1845" priority="157" operator="between">
      <formula>60</formula>
      <formula>64.99</formula>
    </cfRule>
    <cfRule type="cellIs" dxfId="1844" priority="158" operator="between">
      <formula>75.1</formula>
      <formula>80</formula>
    </cfRule>
    <cfRule type="expression" dxfId="1843" priority="159">
      <formula>M6&lt;60</formula>
    </cfRule>
    <cfRule type="expression" dxfId="1842" priority="160">
      <formula>M6&gt;80</formula>
    </cfRule>
  </conditionalFormatting>
  <conditionalFormatting sqref="M16">
    <cfRule type="cellIs" dxfId="1841" priority="154" operator="between">
      <formula>8.01</formula>
      <formula>10</formula>
    </cfRule>
    <cfRule type="expression" dxfId="1840" priority="155">
      <formula>M16&lt;6</formula>
    </cfRule>
    <cfRule type="expression" dxfId="1839" priority="156">
      <formula>M16&gt;10</formula>
    </cfRule>
  </conditionalFormatting>
  <conditionalFormatting sqref="M18">
    <cfRule type="cellIs" dxfId="1838" priority="150" operator="between">
      <formula>30%</formula>
      <formula>39.99%</formula>
    </cfRule>
    <cfRule type="cellIs" dxfId="1837" priority="151" operator="between">
      <formula>50.01%</formula>
      <formula>60%</formula>
    </cfRule>
    <cfRule type="expression" dxfId="1836" priority="152">
      <formula>M18&lt;30%</formula>
    </cfRule>
    <cfRule type="expression" dxfId="1835" priority="153">
      <formula>M18&gt;60%</formula>
    </cfRule>
  </conditionalFormatting>
  <conditionalFormatting sqref="M10">
    <cfRule type="expression" dxfId="1834" priority="148">
      <formula>M10&lt;50</formula>
    </cfRule>
    <cfRule type="expression" dxfId="1833" priority="149">
      <formula>M10&gt;70</formula>
    </cfRule>
  </conditionalFormatting>
  <conditionalFormatting sqref="M12">
    <cfRule type="expression" dxfId="1832" priority="146">
      <formula>M12&lt;50</formula>
    </cfRule>
    <cfRule type="expression" dxfId="1831" priority="147">
      <formula>M12&gt;70</formula>
    </cfRule>
  </conditionalFormatting>
  <conditionalFormatting sqref="M14">
    <cfRule type="cellIs" dxfId="1830" priority="142" operator="between">
      <formula>130</formula>
      <formula>132.99</formula>
    </cfRule>
    <cfRule type="cellIs" dxfId="1829" priority="143" operator="between">
      <formula>147.1</formula>
      <formula>150</formula>
    </cfRule>
    <cfRule type="expression" dxfId="1828" priority="144">
      <formula>M14&lt;130</formula>
    </cfRule>
    <cfRule type="expression" dxfId="1827" priority="145">
      <formula>M14&gt;150</formula>
    </cfRule>
  </conditionalFormatting>
  <conditionalFormatting sqref="M21">
    <cfRule type="cellIs" dxfId="1826" priority="138" operator="between">
      <formula>0.5%</formula>
      <formula>0.599%</formula>
    </cfRule>
    <cfRule type="cellIs" dxfId="1825" priority="139" operator="between">
      <formula>1.41%</formula>
      <formula>1.5%</formula>
    </cfRule>
    <cfRule type="expression" dxfId="1824" priority="140">
      <formula>M21&lt;0.5%</formula>
    </cfRule>
    <cfRule type="expression" dxfId="1823" priority="141">
      <formula>M21&gt;1.5%</formula>
    </cfRule>
  </conditionalFormatting>
  <conditionalFormatting sqref="Q19">
    <cfRule type="cellIs" dxfId="1822" priority="134" operator="between">
      <formula>15%</formula>
      <formula>16.99%</formula>
    </cfRule>
    <cfRule type="cellIs" dxfId="1821" priority="135" operator="between">
      <formula>27.01%</formula>
      <formula>30%</formula>
    </cfRule>
    <cfRule type="expression" dxfId="1820" priority="136">
      <formula>Q19&lt;15%</formula>
    </cfRule>
    <cfRule type="expression" dxfId="1819" priority="137">
      <formula>Q19&gt;30%</formula>
    </cfRule>
  </conditionalFormatting>
  <conditionalFormatting sqref="Q15">
    <cfRule type="expression" dxfId="1818" priority="132">
      <formula>Q15&lt;8</formula>
    </cfRule>
    <cfRule type="expression" dxfId="1817" priority="133">
      <formula>Q15&gt;12</formula>
    </cfRule>
  </conditionalFormatting>
  <conditionalFormatting sqref="Q17">
    <cfRule type="cellIs" dxfId="1816" priority="128" operator="between">
      <formula>2</formula>
      <formula>2.199</formula>
    </cfRule>
    <cfRule type="cellIs" dxfId="1815" priority="129" operator="between">
      <formula>2.41</formula>
      <formula>2.5</formula>
    </cfRule>
    <cfRule type="expression" dxfId="1814" priority="130">
      <formula>Q17&lt;2</formula>
    </cfRule>
    <cfRule type="expression" dxfId="1813" priority="131">
      <formula>Q17&gt;2.5</formula>
    </cfRule>
  </conditionalFormatting>
  <conditionalFormatting sqref="Q20">
    <cfRule type="expression" dxfId="1812" priority="126">
      <formula>Q20&lt;5%</formula>
    </cfRule>
    <cfRule type="expression" dxfId="1811" priority="127">
      <formula>Q20&gt;15%</formula>
    </cfRule>
  </conditionalFormatting>
  <conditionalFormatting sqref="Q20">
    <cfRule type="cellIs" dxfId="1810" priority="124" operator="between">
      <formula>5%</formula>
      <formula>6.99%</formula>
    </cfRule>
    <cfRule type="cellIs" dxfId="1809" priority="125" operator="between">
      <formula>13.1%</formula>
      <formula>15%</formula>
    </cfRule>
  </conditionalFormatting>
  <conditionalFormatting sqref="Q6 Q8">
    <cfRule type="cellIs" dxfId="1808" priority="120" operator="between">
      <formula>60</formula>
      <formula>64.99</formula>
    </cfRule>
    <cfRule type="cellIs" dxfId="1807" priority="121" operator="between">
      <formula>75.1</formula>
      <formula>80</formula>
    </cfRule>
    <cfRule type="expression" dxfId="1806" priority="122">
      <formula>Q6&lt;60</formula>
    </cfRule>
    <cfRule type="expression" dxfId="1805" priority="123">
      <formula>Q6&gt;80</formula>
    </cfRule>
  </conditionalFormatting>
  <conditionalFormatting sqref="Q16">
    <cfRule type="cellIs" dxfId="1804" priority="117" operator="between">
      <formula>8.01</formula>
      <formula>10</formula>
    </cfRule>
    <cfRule type="expression" dxfId="1803" priority="118">
      <formula>Q16&lt;6</formula>
    </cfRule>
    <cfRule type="expression" dxfId="1802" priority="119">
      <formula>Q16&gt;10</formula>
    </cfRule>
  </conditionalFormatting>
  <conditionalFormatting sqref="Q18">
    <cfRule type="cellIs" dxfId="1801" priority="113" operator="between">
      <formula>30%</formula>
      <formula>39.99%</formula>
    </cfRule>
    <cfRule type="cellIs" dxfId="1800" priority="114" operator="between">
      <formula>50.01%</formula>
      <formula>60%</formula>
    </cfRule>
    <cfRule type="expression" dxfId="1799" priority="115">
      <formula>Q18&lt;30%</formula>
    </cfRule>
    <cfRule type="expression" dxfId="1798" priority="116">
      <formula>Q18&gt;60%</formula>
    </cfRule>
  </conditionalFormatting>
  <conditionalFormatting sqref="Q10">
    <cfRule type="expression" dxfId="1797" priority="111">
      <formula>Q10&lt;50</formula>
    </cfRule>
    <cfRule type="expression" dxfId="1796" priority="112">
      <formula>Q10&gt;70</formula>
    </cfRule>
  </conditionalFormatting>
  <conditionalFormatting sqref="Q12">
    <cfRule type="expression" dxfId="1795" priority="109">
      <formula>Q12&lt;50</formula>
    </cfRule>
    <cfRule type="expression" dxfId="1794" priority="110">
      <formula>Q12&gt;70</formula>
    </cfRule>
  </conditionalFormatting>
  <conditionalFormatting sqref="Q14">
    <cfRule type="cellIs" dxfId="1793" priority="105" operator="between">
      <formula>130</formula>
      <formula>132.99</formula>
    </cfRule>
    <cfRule type="cellIs" dxfId="1792" priority="106" operator="between">
      <formula>147.1</formula>
      <formula>150</formula>
    </cfRule>
    <cfRule type="expression" dxfId="1791" priority="107">
      <formula>Q14&lt;130</formula>
    </cfRule>
    <cfRule type="expression" dxfId="1790" priority="108">
      <formula>Q14&gt;150</formula>
    </cfRule>
  </conditionalFormatting>
  <conditionalFormatting sqref="Q21">
    <cfRule type="cellIs" dxfId="1789" priority="101" operator="between">
      <formula>0.5%</formula>
      <formula>0.599%</formula>
    </cfRule>
    <cfRule type="cellIs" dxfId="1788" priority="102" operator="between">
      <formula>1.41%</formula>
      <formula>1.5%</formula>
    </cfRule>
    <cfRule type="expression" dxfId="1787" priority="103">
      <formula>Q21&lt;0.5%</formula>
    </cfRule>
    <cfRule type="expression" dxfId="1786" priority="104">
      <formula>Q21&gt;1.5%</formula>
    </cfRule>
  </conditionalFormatting>
  <conditionalFormatting sqref="I23">
    <cfRule type="cellIs" dxfId="1785" priority="73" operator="between">
      <formula>1.8</formula>
      <formula>1.999</formula>
    </cfRule>
    <cfRule type="cellIs" dxfId="1784" priority="74" operator="between">
      <formula>2.21</formula>
      <formula>2.4</formula>
    </cfRule>
    <cfRule type="expression" dxfId="1783" priority="75">
      <formula>I23&lt;1.8</formula>
    </cfRule>
    <cfRule type="expression" dxfId="1782" priority="76">
      <formula>I23&gt;2.4</formula>
    </cfRule>
  </conditionalFormatting>
  <conditionalFormatting sqref="I22">
    <cfRule type="cellIs" dxfId="1781" priority="69" operator="between">
      <formula>5</formula>
      <formula>5.499</formula>
    </cfRule>
    <cfRule type="cellIs" dxfId="1780" priority="70" operator="between">
      <formula>6.51</formula>
      <formula>8</formula>
    </cfRule>
    <cfRule type="expression" dxfId="1779" priority="71">
      <formula>I22&lt;5</formula>
    </cfRule>
    <cfRule type="expression" dxfId="1778" priority="72">
      <formula>I22&gt;8</formula>
    </cfRule>
  </conditionalFormatting>
  <conditionalFormatting sqref="M23">
    <cfRule type="cellIs" dxfId="1777" priority="65" operator="between">
      <formula>1.8</formula>
      <formula>1.999</formula>
    </cfRule>
    <cfRule type="cellIs" dxfId="1776" priority="66" operator="between">
      <formula>2.21</formula>
      <formula>2.4</formula>
    </cfRule>
    <cfRule type="expression" dxfId="1775" priority="67">
      <formula>M23&lt;1.8</formula>
    </cfRule>
    <cfRule type="expression" dxfId="1774" priority="68">
      <formula>M23&gt;2.4</formula>
    </cfRule>
  </conditionalFormatting>
  <conditionalFormatting sqref="M22">
    <cfRule type="cellIs" dxfId="1773" priority="61" operator="between">
      <formula>5</formula>
      <formula>5.499</formula>
    </cfRule>
    <cfRule type="cellIs" dxfId="1772" priority="62" operator="between">
      <formula>6.51</formula>
      <formula>8</formula>
    </cfRule>
    <cfRule type="expression" dxfId="1771" priority="63">
      <formula>M22&lt;5</formula>
    </cfRule>
    <cfRule type="expression" dxfId="1770" priority="64">
      <formula>M22&gt;8</formula>
    </cfRule>
  </conditionalFormatting>
  <conditionalFormatting sqref="Q23">
    <cfRule type="cellIs" dxfId="1769" priority="57" operator="between">
      <formula>1.8</formula>
      <formula>1.999</formula>
    </cfRule>
    <cfRule type="cellIs" dxfId="1768" priority="58" operator="between">
      <formula>2.21</formula>
      <formula>2.4</formula>
    </cfRule>
    <cfRule type="expression" dxfId="1767" priority="59">
      <formula>Q23&lt;1.8</formula>
    </cfRule>
    <cfRule type="expression" dxfId="1766" priority="60">
      <formula>Q23&gt;2.4</formula>
    </cfRule>
  </conditionalFormatting>
  <conditionalFormatting sqref="Q22">
    <cfRule type="cellIs" dxfId="1765" priority="53" operator="between">
      <formula>5</formula>
      <formula>5.499</formula>
    </cfRule>
    <cfRule type="cellIs" dxfId="1764" priority="54" operator="between">
      <formula>6.51</formula>
      <formula>8</formula>
    </cfRule>
    <cfRule type="expression" dxfId="1763" priority="55">
      <formula>Q22&lt;5</formula>
    </cfRule>
    <cfRule type="expression" dxfId="1762" priority="56">
      <formula>Q22&gt;8</formula>
    </cfRule>
  </conditionalFormatting>
  <conditionalFormatting sqref="I28">
    <cfRule type="cellIs" dxfId="1761" priority="49" operator="between">
      <formula>40</formula>
      <formula>44.99</formula>
    </cfRule>
    <cfRule type="cellIs" dxfId="1760" priority="50" operator="between">
      <formula>55.1</formula>
      <formula>60</formula>
    </cfRule>
    <cfRule type="expression" dxfId="1759" priority="51">
      <formula>I28&lt;40</formula>
    </cfRule>
    <cfRule type="expression" dxfId="1758" priority="52">
      <formula>I28&gt;60</formula>
    </cfRule>
  </conditionalFormatting>
  <conditionalFormatting sqref="I29">
    <cfRule type="cellIs" dxfId="1757" priority="45" operator="between">
      <formula>40</formula>
      <formula>44.99</formula>
    </cfRule>
    <cfRule type="cellIs" dxfId="1756" priority="46" operator="between">
      <formula>55.1</formula>
      <formula>60</formula>
    </cfRule>
    <cfRule type="expression" dxfId="1755" priority="47">
      <formula>I29&lt;40</formula>
    </cfRule>
    <cfRule type="expression" dxfId="1754" priority="48">
      <formula>I29&gt;60</formula>
    </cfRule>
  </conditionalFormatting>
  <conditionalFormatting sqref="K28">
    <cfRule type="cellIs" dxfId="1753" priority="41" operator="between">
      <formula>40</formula>
      <formula>44.99</formula>
    </cfRule>
    <cfRule type="cellIs" dxfId="1752" priority="42" operator="between">
      <formula>55.1</formula>
      <formula>60</formula>
    </cfRule>
    <cfRule type="expression" dxfId="1751" priority="43">
      <formula>K28&lt;40</formula>
    </cfRule>
    <cfRule type="expression" dxfId="1750" priority="44">
      <formula>K28&gt;60</formula>
    </cfRule>
  </conditionalFormatting>
  <conditionalFormatting sqref="K29">
    <cfRule type="cellIs" dxfId="1749" priority="37" operator="between">
      <formula>40</formula>
      <formula>44.99</formula>
    </cfRule>
    <cfRule type="cellIs" dxfId="1748" priority="38" operator="between">
      <formula>55.1</formula>
      <formula>60</formula>
    </cfRule>
    <cfRule type="expression" dxfId="1747" priority="39">
      <formula>K29&lt;40</formula>
    </cfRule>
    <cfRule type="expression" dxfId="1746" priority="40">
      <formula>K29&gt;60</formula>
    </cfRule>
  </conditionalFormatting>
  <conditionalFormatting sqref="M28">
    <cfRule type="cellIs" dxfId="1745" priority="33" operator="between">
      <formula>40</formula>
      <formula>44.99</formula>
    </cfRule>
    <cfRule type="cellIs" dxfId="1744" priority="34" operator="between">
      <formula>55.1</formula>
      <formula>60</formula>
    </cfRule>
    <cfRule type="expression" dxfId="1743" priority="35">
      <formula>M28&lt;40</formula>
    </cfRule>
    <cfRule type="expression" dxfId="1742" priority="36">
      <formula>M28&gt;60</formula>
    </cfRule>
  </conditionalFormatting>
  <conditionalFormatting sqref="M29">
    <cfRule type="cellIs" dxfId="1741" priority="29" operator="between">
      <formula>40</formula>
      <formula>44.99</formula>
    </cfRule>
    <cfRule type="cellIs" dxfId="1740" priority="30" operator="between">
      <formula>55.1</formula>
      <formula>60</formula>
    </cfRule>
    <cfRule type="expression" dxfId="1739" priority="31">
      <formula>M29&lt;40</formula>
    </cfRule>
    <cfRule type="expression" dxfId="1738" priority="32">
      <formula>M29&gt;60</formula>
    </cfRule>
  </conditionalFormatting>
  <conditionalFormatting sqref="O28">
    <cfRule type="cellIs" dxfId="1737" priority="25" operator="between">
      <formula>40</formula>
      <formula>44.99</formula>
    </cfRule>
    <cfRule type="cellIs" dxfId="1736" priority="26" operator="between">
      <formula>55.1</formula>
      <formula>60</formula>
    </cfRule>
    <cfRule type="expression" dxfId="1735" priority="27">
      <formula>O28&lt;40</formula>
    </cfRule>
    <cfRule type="expression" dxfId="1734" priority="28">
      <formula>O28&gt;60</formula>
    </cfRule>
  </conditionalFormatting>
  <conditionalFormatting sqref="O29">
    <cfRule type="cellIs" dxfId="1733" priority="21" operator="between">
      <formula>40</formula>
      <formula>44.99</formula>
    </cfRule>
    <cfRule type="cellIs" dxfId="1732" priority="22" operator="between">
      <formula>55.1</formula>
      <formula>60</formula>
    </cfRule>
    <cfRule type="expression" dxfId="1731" priority="23">
      <formula>O29&lt;40</formula>
    </cfRule>
    <cfRule type="expression" dxfId="1730" priority="24">
      <formula>O29&gt;60</formula>
    </cfRule>
  </conditionalFormatting>
  <conditionalFormatting sqref="Q28">
    <cfRule type="cellIs" dxfId="1729" priority="17" operator="between">
      <formula>40</formula>
      <formula>44.99</formula>
    </cfRule>
    <cfRule type="cellIs" dxfId="1728" priority="18" operator="between">
      <formula>55.1</formula>
      <formula>60</formula>
    </cfRule>
    <cfRule type="expression" dxfId="1727" priority="19">
      <formula>Q28&lt;40</formula>
    </cfRule>
    <cfRule type="expression" dxfId="1726" priority="20">
      <formula>Q28&gt;60</formula>
    </cfRule>
  </conditionalFormatting>
  <conditionalFormatting sqref="Q29">
    <cfRule type="cellIs" dxfId="1725" priority="13" operator="between">
      <formula>40</formula>
      <formula>44.99</formula>
    </cfRule>
    <cfRule type="cellIs" dxfId="1724" priority="14" operator="between">
      <formula>55.1</formula>
      <formula>60</formula>
    </cfRule>
    <cfRule type="expression" dxfId="1723" priority="15">
      <formula>Q29&lt;40</formula>
    </cfRule>
    <cfRule type="expression" dxfId="1722" priority="16">
      <formula>Q29&gt;60</formula>
    </cfRule>
  </conditionalFormatting>
  <conditionalFormatting sqref="S28">
    <cfRule type="cellIs" dxfId="1721" priority="9" operator="between">
      <formula>40</formula>
      <formula>44.99</formula>
    </cfRule>
    <cfRule type="cellIs" dxfId="1720" priority="10" operator="between">
      <formula>55.1</formula>
      <formula>60</formula>
    </cfRule>
    <cfRule type="expression" dxfId="1719" priority="11">
      <formula>S28&lt;40</formula>
    </cfRule>
    <cfRule type="expression" dxfId="1718" priority="12">
      <formula>S28&gt;60</formula>
    </cfRule>
  </conditionalFormatting>
  <conditionalFormatting sqref="S29">
    <cfRule type="cellIs" dxfId="1717" priority="5" operator="between">
      <formula>40</formula>
      <formula>44.99</formula>
    </cfRule>
    <cfRule type="cellIs" dxfId="1716" priority="6" operator="between">
      <formula>55.1</formula>
      <formula>60</formula>
    </cfRule>
    <cfRule type="expression" dxfId="1715" priority="7">
      <formula>S29&lt;40</formula>
    </cfRule>
    <cfRule type="expression" dxfId="1714" priority="8">
      <formula>S29&gt;60</formula>
    </cfRule>
  </conditionalFormatting>
  <conditionalFormatting sqref="Q23">
    <cfRule type="cellIs" dxfId="1713" priority="1" operator="between">
      <formula>5</formula>
      <formula>5.499</formula>
    </cfRule>
    <cfRule type="cellIs" dxfId="1712" priority="2" operator="between">
      <formula>6.51</formula>
      <formula>8</formula>
    </cfRule>
    <cfRule type="expression" dxfId="1711" priority="3">
      <formula>Q23&lt;5</formula>
    </cfRule>
    <cfRule type="expression" dxfId="1710" priority="4">
      <formula>Q23&gt;8</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AM46"/>
  <sheetViews>
    <sheetView topLeftCell="A16" zoomScale="55" zoomScaleNormal="55" workbookViewId="0">
      <selection sqref="A1:R1"/>
    </sheetView>
  </sheetViews>
  <sheetFormatPr defaultRowHeight="16.5"/>
  <cols>
    <col min="1" max="1" width="5" style="8" customWidth="1"/>
    <col min="2" max="2" width="8.125" style="30" customWidth="1"/>
    <col min="3" max="3" width="7" style="30" customWidth="1"/>
    <col min="4" max="4" width="10.125" style="30" customWidth="1"/>
    <col min="5" max="5" width="3.25" style="30"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0" customWidth="1"/>
    <col min="25" max="25" width="7.5" style="30" customWidth="1"/>
    <col min="26" max="26" width="10.75" style="30" customWidth="1"/>
    <col min="27" max="27" width="3.875" style="30"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3446" t="s">
        <v>134</v>
      </c>
      <c r="B1" s="3446"/>
      <c r="C1" s="3446"/>
      <c r="D1" s="3446"/>
      <c r="E1" s="3446"/>
      <c r="F1" s="3446"/>
      <c r="G1" s="3446"/>
      <c r="H1" s="3446"/>
      <c r="I1" s="3446"/>
      <c r="J1" s="3446"/>
      <c r="K1" s="3446"/>
      <c r="L1" s="3446"/>
      <c r="M1" s="3446"/>
      <c r="N1" s="3446"/>
      <c r="O1" s="3446"/>
      <c r="P1" s="3446"/>
      <c r="Q1" s="3446"/>
      <c r="R1" s="3446"/>
      <c r="S1" s="1432"/>
      <c r="T1" s="1432"/>
      <c r="U1" s="1450" t="s">
        <v>1346</v>
      </c>
      <c r="W1" s="3446"/>
      <c r="X1" s="3446"/>
      <c r="Y1" s="3446"/>
      <c r="Z1" s="3446"/>
      <c r="AA1" s="3446"/>
      <c r="AM1" s="1451" t="s">
        <v>1347</v>
      </c>
    </row>
    <row r="2" spans="1:39" ht="46.5" customHeight="1">
      <c r="A2" s="3447" t="s">
        <v>135</v>
      </c>
      <c r="B2" s="3447"/>
      <c r="C2" s="3447"/>
      <c r="D2" s="3447"/>
      <c r="E2" s="3447"/>
      <c r="F2" s="3447"/>
      <c r="G2" s="3447"/>
      <c r="H2" s="3447"/>
      <c r="I2" s="3447"/>
      <c r="J2" s="3447"/>
      <c r="K2" s="3447"/>
      <c r="L2" s="3447"/>
      <c r="M2" s="3447"/>
      <c r="N2" s="3447"/>
      <c r="O2" s="3447"/>
      <c r="P2" s="3447"/>
      <c r="Q2" s="3447"/>
      <c r="R2" s="3448"/>
      <c r="S2" s="3366" t="s">
        <v>87</v>
      </c>
      <c r="T2" s="3200"/>
      <c r="U2" s="1443" t="s">
        <v>1341</v>
      </c>
      <c r="W2" s="3447"/>
      <c r="X2" s="3447"/>
      <c r="Y2" s="3447"/>
      <c r="Z2" s="3447"/>
      <c r="AA2" s="3447"/>
      <c r="AI2" s="1003"/>
    </row>
    <row r="3" spans="1:39" ht="32.25" customHeight="1">
      <c r="A3" s="9"/>
      <c r="B3" s="1418" t="s">
        <v>126</v>
      </c>
      <c r="C3" s="1419"/>
      <c r="D3" s="1389"/>
      <c r="E3" s="1390"/>
      <c r="F3" s="2681" t="s">
        <v>1595</v>
      </c>
      <c r="G3" s="1812" t="str">
        <f>MENU!$AC$9</f>
        <v>Thứ 5,</v>
      </c>
      <c r="H3" s="3400" t="str">
        <f>MENU!$AD$9</f>
        <v>2024/08/01</v>
      </c>
      <c r="I3" s="3400"/>
      <c r="J3" s="27"/>
      <c r="K3" s="27"/>
      <c r="L3" s="28"/>
      <c r="M3" s="28"/>
      <c r="N3" s="28"/>
      <c r="O3" s="28"/>
      <c r="P3" s="28"/>
      <c r="Q3" s="28"/>
      <c r="R3" s="28"/>
      <c r="S3" s="3414" t="str">
        <f>MENU!AE7</f>
        <v>Trang</v>
      </c>
      <c r="T3" s="3415"/>
      <c r="U3" s="1428"/>
      <c r="W3" s="9"/>
      <c r="X3" s="1418" t="s">
        <v>126</v>
      </c>
      <c r="Y3" s="1419"/>
      <c r="Z3" s="1389"/>
      <c r="AA3" s="1390"/>
      <c r="AB3" s="1812" t="str">
        <f>MENU!$AC$9</f>
        <v>Thứ 5,</v>
      </c>
      <c r="AC3" s="3400" t="str">
        <f>MENU!$AD$9</f>
        <v>2024/08/01</v>
      </c>
      <c r="AD3" s="3400"/>
      <c r="AE3" s="25"/>
      <c r="AF3" s="25"/>
      <c r="AG3" s="451"/>
      <c r="AH3" s="451"/>
    </row>
    <row r="4" spans="1:39" s="61" customFormat="1" ht="32.25" customHeight="1">
      <c r="A4" s="3431" t="s">
        <v>7</v>
      </c>
      <c r="B4" s="3143" t="s">
        <v>75</v>
      </c>
      <c r="C4" s="3144"/>
      <c r="D4" s="3144"/>
      <c r="E4" s="3145"/>
      <c r="F4" s="3395" t="s">
        <v>123</v>
      </c>
      <c r="G4" s="3180" t="s">
        <v>1296</v>
      </c>
      <c r="H4" s="3185" t="s">
        <v>1289</v>
      </c>
      <c r="I4" s="3201">
        <v>0.80208333333333337</v>
      </c>
      <c r="J4" s="3199"/>
      <c r="K4" s="3199"/>
      <c r="L4" s="3200"/>
      <c r="M4" s="3198">
        <v>0.96875</v>
      </c>
      <c r="N4" s="3199"/>
      <c r="O4" s="3199"/>
      <c r="P4" s="3200"/>
      <c r="Q4" s="3198">
        <v>0.13541666666666666</v>
      </c>
      <c r="R4" s="3199"/>
      <c r="S4" s="3199"/>
      <c r="T4" s="3200"/>
      <c r="U4" s="3216" t="s">
        <v>38</v>
      </c>
      <c r="W4" s="3431" t="s">
        <v>7</v>
      </c>
      <c r="X4" s="3143" t="s">
        <v>75</v>
      </c>
      <c r="Y4" s="3144"/>
      <c r="Z4" s="3144"/>
      <c r="AA4" s="3145"/>
      <c r="AB4" s="3198">
        <v>0.80208333333333337</v>
      </c>
      <c r="AC4" s="3201"/>
      <c r="AD4" s="3201"/>
      <c r="AE4" s="3365"/>
      <c r="AF4" s="3198">
        <v>0.96875</v>
      </c>
      <c r="AG4" s="3201"/>
      <c r="AH4" s="3201"/>
      <c r="AI4" s="3365"/>
      <c r="AJ4" s="3198">
        <v>0.13541666666666666</v>
      </c>
      <c r="AK4" s="3201"/>
      <c r="AL4" s="3201"/>
      <c r="AM4" s="3365"/>
    </row>
    <row r="5" spans="1:39" s="61" customFormat="1" ht="36" customHeight="1">
      <c r="A5" s="3431"/>
      <c r="B5" s="3146"/>
      <c r="C5" s="3147"/>
      <c r="D5" s="3147"/>
      <c r="E5" s="3148"/>
      <c r="F5" s="3396"/>
      <c r="G5" s="3181"/>
      <c r="H5" s="3186"/>
      <c r="I5" s="2220" t="s">
        <v>128</v>
      </c>
      <c r="J5" s="3170" t="s">
        <v>1</v>
      </c>
      <c r="K5" s="3171"/>
      <c r="L5" s="3172"/>
      <c r="M5" s="52" t="s">
        <v>128</v>
      </c>
      <c r="N5" s="3170" t="s">
        <v>1</v>
      </c>
      <c r="O5" s="3171"/>
      <c r="P5" s="3172"/>
      <c r="Q5" s="52" t="s">
        <v>128</v>
      </c>
      <c r="R5" s="3170" t="s">
        <v>1</v>
      </c>
      <c r="S5" s="3171"/>
      <c r="T5" s="3172"/>
      <c r="U5" s="3217"/>
      <c r="W5" s="3431"/>
      <c r="X5" s="3146"/>
      <c r="Y5" s="3147"/>
      <c r="Z5" s="3147"/>
      <c r="AA5" s="3148"/>
      <c r="AB5" s="3256" t="s">
        <v>1433</v>
      </c>
      <c r="AC5" s="3368"/>
      <c r="AD5" s="3367" t="s">
        <v>1466</v>
      </c>
      <c r="AE5" s="3200"/>
      <c r="AF5" s="3256" t="s">
        <v>1433</v>
      </c>
      <c r="AG5" s="3368"/>
      <c r="AH5" s="3367" t="s">
        <v>1466</v>
      </c>
      <c r="AI5" s="3200"/>
      <c r="AJ5" s="3256" t="s">
        <v>1433</v>
      </c>
      <c r="AK5" s="3368"/>
      <c r="AL5" s="3367" t="s">
        <v>1466</v>
      </c>
      <c r="AM5" s="3200"/>
    </row>
    <row r="6" spans="1:39" ht="36" customHeight="1">
      <c r="A6" s="3429">
        <v>1</v>
      </c>
      <c r="B6" s="3450" t="s">
        <v>137</v>
      </c>
      <c r="C6" s="3451"/>
      <c r="D6" s="3384" t="s">
        <v>229</v>
      </c>
      <c r="E6" s="3385"/>
      <c r="F6" s="1427" t="s">
        <v>4</v>
      </c>
      <c r="G6" s="897" t="str">
        <f>'XM.GUI MAIL'!$E$78</f>
        <v>40~60</v>
      </c>
      <c r="H6" s="2202" t="str">
        <f>'XM.GUI MAIL'!$F$78</f>
        <v>(50±5)</v>
      </c>
      <c r="I6" s="2205">
        <f>'XM.GUI MAIL'!AD78</f>
        <v>0</v>
      </c>
      <c r="J6" s="54" t="s">
        <v>8</v>
      </c>
      <c r="K6" s="55">
        <f>'XM.GUI MAIL'!AG78</f>
        <v>0</v>
      </c>
      <c r="L6" s="56" t="s">
        <v>9</v>
      </c>
      <c r="M6" s="1398">
        <f>'XM.GUI MAIL'!AK78</f>
        <v>0</v>
      </c>
      <c r="N6" s="54" t="s">
        <v>8</v>
      </c>
      <c r="O6" s="55">
        <f>'XM.GUI MAIL'!AN78</f>
        <v>0</v>
      </c>
      <c r="P6" s="56" t="s">
        <v>9</v>
      </c>
      <c r="Q6" s="1398">
        <f>'XM.GUI MAIL'!AR78</f>
        <v>0</v>
      </c>
      <c r="R6" s="62" t="s">
        <v>8</v>
      </c>
      <c r="S6" s="63">
        <f>'XM.GUI MAIL'!AU78</f>
        <v>0</v>
      </c>
      <c r="T6" s="29" t="s">
        <v>9</v>
      </c>
      <c r="U6" s="1430" t="s">
        <v>39</v>
      </c>
      <c r="W6" s="3429">
        <v>1</v>
      </c>
      <c r="X6" s="3450" t="s">
        <v>137</v>
      </c>
      <c r="Y6" s="3451"/>
      <c r="Z6" s="3384" t="s">
        <v>229</v>
      </c>
      <c r="AA6" s="3385"/>
      <c r="AB6" s="2018"/>
      <c r="AC6" s="1804" t="s">
        <v>9</v>
      </c>
      <c r="AD6" s="1791"/>
      <c r="AE6" s="1746" t="s">
        <v>4</v>
      </c>
      <c r="AF6" s="2018"/>
      <c r="AG6" s="1804" t="s">
        <v>9</v>
      </c>
      <c r="AH6" s="1791"/>
      <c r="AI6" s="1746" t="s">
        <v>4</v>
      </c>
      <c r="AJ6" s="2018"/>
      <c r="AK6" s="1804" t="s">
        <v>9</v>
      </c>
      <c r="AL6" s="1791"/>
      <c r="AM6" s="1746" t="s">
        <v>4</v>
      </c>
    </row>
    <row r="7" spans="1:39" ht="33" customHeight="1">
      <c r="A7" s="3449"/>
      <c r="B7" s="3452"/>
      <c r="C7" s="3453"/>
      <c r="D7" s="3384" t="s">
        <v>230</v>
      </c>
      <c r="E7" s="3385"/>
      <c r="F7" s="1004"/>
      <c r="G7" s="897" t="s">
        <v>1260</v>
      </c>
      <c r="H7" s="2202"/>
      <c r="I7" s="2191"/>
      <c r="J7" s="54"/>
      <c r="K7" s="57">
        <f>K6/25*8.5</f>
        <v>0</v>
      </c>
      <c r="L7" s="56" t="s">
        <v>10</v>
      </c>
      <c r="M7" s="1676"/>
      <c r="N7" s="54"/>
      <c r="O7" s="57">
        <f>O6/25*8.5</f>
        <v>0</v>
      </c>
      <c r="P7" s="56" t="s">
        <v>10</v>
      </c>
      <c r="Q7" s="1676"/>
      <c r="R7" s="54"/>
      <c r="S7" s="57">
        <f>S6/25*8.5</f>
        <v>0</v>
      </c>
      <c r="T7" s="56" t="s">
        <v>10</v>
      </c>
      <c r="U7" s="1430"/>
      <c r="W7" s="3449"/>
      <c r="X7" s="3452"/>
      <c r="Y7" s="3453"/>
      <c r="Z7" s="3384" t="s">
        <v>230</v>
      </c>
      <c r="AA7" s="3385"/>
      <c r="AB7" s="2018"/>
      <c r="AC7" s="1804" t="s">
        <v>10</v>
      </c>
      <c r="AD7" s="1791"/>
      <c r="AE7" s="1805"/>
      <c r="AF7" s="2018"/>
      <c r="AG7" s="1804" t="s">
        <v>10</v>
      </c>
      <c r="AH7" s="1791"/>
      <c r="AI7" s="1805"/>
      <c r="AJ7" s="2018"/>
      <c r="AK7" s="1804" t="s">
        <v>10</v>
      </c>
      <c r="AL7" s="1791"/>
      <c r="AM7" s="1805"/>
    </row>
    <row r="8" spans="1:39" ht="36" customHeight="1">
      <c r="A8" s="3429">
        <v>2</v>
      </c>
      <c r="B8" s="3450" t="s">
        <v>138</v>
      </c>
      <c r="C8" s="3451"/>
      <c r="D8" s="3384" t="s">
        <v>229</v>
      </c>
      <c r="E8" s="3385"/>
      <c r="F8" s="1427" t="s">
        <v>4</v>
      </c>
      <c r="G8" s="897" t="str">
        <f>'XM.GUI MAIL'!$E$80</f>
        <v>40~60</v>
      </c>
      <c r="H8" s="2202" t="str">
        <f>'XM.GUI MAIL'!$F$80</f>
        <v>(50±5)</v>
      </c>
      <c r="I8" s="2205">
        <f>'XM.GUI MAIL'!AD80</f>
        <v>0</v>
      </c>
      <c r="J8" s="54" t="s">
        <v>8</v>
      </c>
      <c r="K8" s="55">
        <f>'XM.GUI MAIL'!AG80</f>
        <v>0</v>
      </c>
      <c r="L8" s="56" t="s">
        <v>9</v>
      </c>
      <c r="M8" s="1398">
        <f>'XM.GUI MAIL'!AK80</f>
        <v>0</v>
      </c>
      <c r="N8" s="54" t="s">
        <v>8</v>
      </c>
      <c r="O8" s="55">
        <f>'XM.GUI MAIL'!AN80</f>
        <v>0</v>
      </c>
      <c r="P8" s="56" t="s">
        <v>9</v>
      </c>
      <c r="Q8" s="1398">
        <f>'XM.GUI MAIL'!AR80</f>
        <v>0</v>
      </c>
      <c r="R8" s="62" t="s">
        <v>8</v>
      </c>
      <c r="S8" s="63">
        <f>'XM.GUI MAIL'!AU80</f>
        <v>0</v>
      </c>
      <c r="T8" s="29" t="s">
        <v>9</v>
      </c>
      <c r="U8" s="1430" t="s">
        <v>39</v>
      </c>
      <c r="W8" s="3429">
        <v>2</v>
      </c>
      <c r="X8" s="3450" t="s">
        <v>138</v>
      </c>
      <c r="Y8" s="3451"/>
      <c r="Z8" s="3384" t="s">
        <v>229</v>
      </c>
      <c r="AA8" s="3385"/>
      <c r="AB8" s="2018"/>
      <c r="AC8" s="1804" t="s">
        <v>9</v>
      </c>
      <c r="AD8" s="1791"/>
      <c r="AE8" s="1746" t="s">
        <v>4</v>
      </c>
      <c r="AF8" s="2018"/>
      <c r="AG8" s="1804" t="s">
        <v>9</v>
      </c>
      <c r="AH8" s="1791"/>
      <c r="AI8" s="1746" t="s">
        <v>4</v>
      </c>
      <c r="AJ8" s="2018"/>
      <c r="AK8" s="1804" t="s">
        <v>9</v>
      </c>
      <c r="AL8" s="1791"/>
      <c r="AM8" s="1746" t="s">
        <v>4</v>
      </c>
    </row>
    <row r="9" spans="1:39" ht="36" customHeight="1">
      <c r="A9" s="3449"/>
      <c r="B9" s="3452"/>
      <c r="C9" s="3453"/>
      <c r="D9" s="3384" t="s">
        <v>230</v>
      </c>
      <c r="E9" s="3385"/>
      <c r="F9" s="1004"/>
      <c r="G9" s="897" t="s">
        <v>1260</v>
      </c>
      <c r="H9" s="2202"/>
      <c r="I9" s="2191"/>
      <c r="J9" s="54"/>
      <c r="K9" s="57">
        <f>K8/25*8.5</f>
        <v>0</v>
      </c>
      <c r="L9" s="56" t="s">
        <v>10</v>
      </c>
      <c r="M9" s="1676"/>
      <c r="N9" s="54"/>
      <c r="O9" s="57">
        <f>O8/25*8.5</f>
        <v>0</v>
      </c>
      <c r="P9" s="56" t="s">
        <v>10</v>
      </c>
      <c r="Q9" s="1676"/>
      <c r="R9" s="54"/>
      <c r="S9" s="57">
        <f>S8/25*8.5</f>
        <v>0</v>
      </c>
      <c r="T9" s="56" t="s">
        <v>10</v>
      </c>
      <c r="U9" s="1430"/>
      <c r="W9" s="3449"/>
      <c r="X9" s="3452"/>
      <c r="Y9" s="3453"/>
      <c r="Z9" s="3384" t="s">
        <v>230</v>
      </c>
      <c r="AA9" s="3385"/>
      <c r="AB9" s="2018"/>
      <c r="AC9" s="1804" t="s">
        <v>10</v>
      </c>
      <c r="AD9" s="1791"/>
      <c r="AE9" s="1805"/>
      <c r="AF9" s="2018"/>
      <c r="AG9" s="1804" t="s">
        <v>10</v>
      </c>
      <c r="AH9" s="1791"/>
      <c r="AI9" s="1805"/>
      <c r="AJ9" s="2018"/>
      <c r="AK9" s="1804" t="s">
        <v>10</v>
      </c>
      <c r="AL9" s="1791"/>
      <c r="AM9" s="1805"/>
    </row>
    <row r="10" spans="1:39" ht="36" customHeight="1">
      <c r="A10" s="3429">
        <v>3</v>
      </c>
      <c r="B10" s="3386" t="s">
        <v>139</v>
      </c>
      <c r="C10" s="3387"/>
      <c r="D10" s="3256" t="s">
        <v>231</v>
      </c>
      <c r="E10" s="3257" t="s">
        <v>231</v>
      </c>
      <c r="F10" s="1427" t="s">
        <v>4</v>
      </c>
      <c r="G10" s="897" t="str">
        <f>'XM.GUI MAIL'!$E$82</f>
        <v>50~70</v>
      </c>
      <c r="H10" s="2202" t="str">
        <f>'XM.GUI MAIL'!$F$82</f>
        <v>(60±5)</v>
      </c>
      <c r="I10" s="2205">
        <f>'XM.GUI MAIL'!AD82</f>
        <v>0</v>
      </c>
      <c r="J10" s="54" t="s">
        <v>8</v>
      </c>
      <c r="K10" s="55">
        <f>'XM.GUI MAIL'!AG82</f>
        <v>0</v>
      </c>
      <c r="L10" s="56" t="s">
        <v>9</v>
      </c>
      <c r="M10" s="1398">
        <f>'XM.GUI MAIL'!AK82</f>
        <v>0</v>
      </c>
      <c r="N10" s="54" t="s">
        <v>8</v>
      </c>
      <c r="O10" s="55">
        <f>'XM.GUI MAIL'!AN82</f>
        <v>0</v>
      </c>
      <c r="P10" s="56" t="s">
        <v>9</v>
      </c>
      <c r="Q10" s="1398">
        <f>'XM.GUI MAIL'!AR82</f>
        <v>0</v>
      </c>
      <c r="R10" s="54" t="s">
        <v>8</v>
      </c>
      <c r="S10" s="55">
        <f>'XM.GUI MAIL'!AU82</f>
        <v>0</v>
      </c>
      <c r="T10" s="56" t="s">
        <v>9</v>
      </c>
      <c r="U10" s="1430" t="s">
        <v>39</v>
      </c>
      <c r="W10" s="3429">
        <v>3</v>
      </c>
      <c r="X10" s="3386" t="s">
        <v>139</v>
      </c>
      <c r="Y10" s="3387"/>
      <c r="Z10" s="3256" t="s">
        <v>231</v>
      </c>
      <c r="AA10" s="3257" t="s">
        <v>231</v>
      </c>
      <c r="AB10" s="2018"/>
      <c r="AC10" s="1804" t="s">
        <v>9</v>
      </c>
      <c r="AD10" s="1791"/>
      <c r="AE10" s="1746" t="s">
        <v>4</v>
      </c>
      <c r="AF10" s="2018"/>
      <c r="AG10" s="1804" t="s">
        <v>9</v>
      </c>
      <c r="AH10" s="1791"/>
      <c r="AI10" s="1746" t="s">
        <v>4</v>
      </c>
      <c r="AJ10" s="2018"/>
      <c r="AK10" s="1804" t="s">
        <v>9</v>
      </c>
      <c r="AL10" s="1791"/>
      <c r="AM10" s="1746" t="s">
        <v>4</v>
      </c>
    </row>
    <row r="11" spans="1:39" ht="36" customHeight="1">
      <c r="A11" s="3430"/>
      <c r="B11" s="3387"/>
      <c r="C11" s="3387"/>
      <c r="D11" s="3256" t="s">
        <v>232</v>
      </c>
      <c r="E11" s="3257" t="s">
        <v>232</v>
      </c>
      <c r="F11" s="1004"/>
      <c r="G11" s="897" t="s">
        <v>1261</v>
      </c>
      <c r="H11" s="2202"/>
      <c r="I11" s="2191"/>
      <c r="J11" s="54"/>
      <c r="K11" s="57">
        <f>K10/25*8</f>
        <v>0</v>
      </c>
      <c r="L11" s="56" t="s">
        <v>10</v>
      </c>
      <c r="M11" s="1676"/>
      <c r="N11" s="54"/>
      <c r="O11" s="57">
        <f>O10/25*8</f>
        <v>0</v>
      </c>
      <c r="P11" s="56" t="s">
        <v>10</v>
      </c>
      <c r="Q11" s="1676"/>
      <c r="R11" s="54"/>
      <c r="S11" s="57">
        <f>S10/25*8</f>
        <v>0</v>
      </c>
      <c r="T11" s="56" t="s">
        <v>10</v>
      </c>
      <c r="U11" s="1430"/>
      <c r="W11" s="3430"/>
      <c r="X11" s="3387"/>
      <c r="Y11" s="3387"/>
      <c r="Z11" s="3256" t="s">
        <v>232</v>
      </c>
      <c r="AA11" s="3257" t="s">
        <v>232</v>
      </c>
      <c r="AB11" s="2018"/>
      <c r="AC11" s="1804" t="s">
        <v>10</v>
      </c>
      <c r="AD11" s="1791"/>
      <c r="AE11" s="1805"/>
      <c r="AF11" s="2018"/>
      <c r="AG11" s="1804" t="s">
        <v>10</v>
      </c>
      <c r="AH11" s="1791"/>
      <c r="AI11" s="1805"/>
      <c r="AJ11" s="2018"/>
      <c r="AK11" s="1804" t="s">
        <v>10</v>
      </c>
      <c r="AL11" s="1791"/>
      <c r="AM11" s="1805"/>
    </row>
    <row r="12" spans="1:39" ht="36" customHeight="1">
      <c r="A12" s="3429">
        <v>4</v>
      </c>
      <c r="B12" s="3386" t="s">
        <v>140</v>
      </c>
      <c r="C12" s="3387"/>
      <c r="D12" s="3256" t="s">
        <v>231</v>
      </c>
      <c r="E12" s="3257" t="s">
        <v>231</v>
      </c>
      <c r="F12" s="1427" t="s">
        <v>4</v>
      </c>
      <c r="G12" s="897" t="str">
        <f>'XM.GUI MAIL'!$E$84</f>
        <v>50~70</v>
      </c>
      <c r="H12" s="2202" t="str">
        <f>'XM.GUI MAIL'!$F$84</f>
        <v>(60±5)</v>
      </c>
      <c r="I12" s="2205">
        <f>'XM.GUI MAIL'!AD84</f>
        <v>0</v>
      </c>
      <c r="J12" s="54" t="s">
        <v>8</v>
      </c>
      <c r="K12" s="55">
        <f>'XM.GUI MAIL'!AG84</f>
        <v>0</v>
      </c>
      <c r="L12" s="56" t="s">
        <v>9</v>
      </c>
      <c r="M12" s="1398">
        <f>'XM.GUI MAIL'!AK84</f>
        <v>0</v>
      </c>
      <c r="N12" s="54" t="s">
        <v>8</v>
      </c>
      <c r="O12" s="55">
        <f>'XM.GUI MAIL'!AN84</f>
        <v>0</v>
      </c>
      <c r="P12" s="56" t="s">
        <v>9</v>
      </c>
      <c r="Q12" s="1398">
        <f>'XM.GUI MAIL'!AR84</f>
        <v>0</v>
      </c>
      <c r="R12" s="54" t="s">
        <v>8</v>
      </c>
      <c r="S12" s="55">
        <f>'XM.GUI MAIL'!AU84</f>
        <v>0</v>
      </c>
      <c r="T12" s="56" t="s">
        <v>9</v>
      </c>
      <c r="U12" s="1430" t="s">
        <v>39</v>
      </c>
      <c r="W12" s="3429">
        <v>4</v>
      </c>
      <c r="X12" s="3386" t="s">
        <v>140</v>
      </c>
      <c r="Y12" s="3387"/>
      <c r="Z12" s="3256" t="s">
        <v>231</v>
      </c>
      <c r="AA12" s="3257" t="s">
        <v>231</v>
      </c>
      <c r="AB12" s="2018"/>
      <c r="AC12" s="1804" t="s">
        <v>9</v>
      </c>
      <c r="AD12" s="1791"/>
      <c r="AE12" s="1746" t="s">
        <v>4</v>
      </c>
      <c r="AF12" s="2018"/>
      <c r="AG12" s="1804" t="s">
        <v>9</v>
      </c>
      <c r="AH12" s="1791"/>
      <c r="AI12" s="1746" t="s">
        <v>4</v>
      </c>
      <c r="AJ12" s="2018"/>
      <c r="AK12" s="1804" t="s">
        <v>9</v>
      </c>
      <c r="AL12" s="1791"/>
      <c r="AM12" s="1746" t="s">
        <v>4</v>
      </c>
    </row>
    <row r="13" spans="1:39" ht="33" customHeight="1">
      <c r="A13" s="3430"/>
      <c r="B13" s="3387"/>
      <c r="C13" s="3387"/>
      <c r="D13" s="3256" t="s">
        <v>232</v>
      </c>
      <c r="E13" s="3257" t="s">
        <v>232</v>
      </c>
      <c r="F13" s="1004"/>
      <c r="G13" s="897" t="s">
        <v>1261</v>
      </c>
      <c r="H13" s="2202"/>
      <c r="I13" s="2191"/>
      <c r="J13" s="54"/>
      <c r="K13" s="57">
        <f>K12/25*8</f>
        <v>0</v>
      </c>
      <c r="L13" s="56" t="s">
        <v>10</v>
      </c>
      <c r="M13" s="1676"/>
      <c r="N13" s="54"/>
      <c r="O13" s="57">
        <f>O12/25*8</f>
        <v>0</v>
      </c>
      <c r="P13" s="56" t="s">
        <v>10</v>
      </c>
      <c r="Q13" s="1676"/>
      <c r="R13" s="54"/>
      <c r="S13" s="57">
        <f>S12/25*8</f>
        <v>0</v>
      </c>
      <c r="T13" s="56" t="s">
        <v>10</v>
      </c>
      <c r="U13" s="1430"/>
      <c r="W13" s="3430"/>
      <c r="X13" s="3387"/>
      <c r="Y13" s="3387"/>
      <c r="Z13" s="3256" t="s">
        <v>232</v>
      </c>
      <c r="AA13" s="3257" t="s">
        <v>232</v>
      </c>
      <c r="AB13" s="2018"/>
      <c r="AC13" s="1804" t="s">
        <v>10</v>
      </c>
      <c r="AD13" s="1791"/>
      <c r="AE13" s="1805"/>
      <c r="AF13" s="2018"/>
      <c r="AG13" s="1804" t="s">
        <v>10</v>
      </c>
      <c r="AH13" s="1791"/>
      <c r="AI13" s="1805"/>
      <c r="AJ13" s="2018"/>
      <c r="AK13" s="1804" t="s">
        <v>10</v>
      </c>
      <c r="AL13" s="1791"/>
      <c r="AM13" s="1805"/>
    </row>
    <row r="14" spans="1:39" ht="36" customHeight="1">
      <c r="A14" s="3429">
        <v>5</v>
      </c>
      <c r="B14" s="3444" t="s">
        <v>1668</v>
      </c>
      <c r="C14" s="3441" t="s">
        <v>19</v>
      </c>
      <c r="D14" s="3442"/>
      <c r="E14" s="3443"/>
      <c r="F14" s="1427" t="s">
        <v>4</v>
      </c>
      <c r="G14" s="1438" t="str">
        <f>'XM.GUI MAIL'!$E$86</f>
        <v>135~ 145</v>
      </c>
      <c r="H14" s="2221" t="str">
        <f>'XM.GUI MAIL'!$F$86</f>
        <v>(140±5)</v>
      </c>
      <c r="I14" s="2207">
        <f>'XM.GUI MAIL'!AD86</f>
        <v>0</v>
      </c>
      <c r="J14" s="54" t="s">
        <v>8</v>
      </c>
      <c r="K14" s="55">
        <f>'XM.GUI MAIL'!AG86</f>
        <v>0</v>
      </c>
      <c r="L14" s="56" t="s">
        <v>9</v>
      </c>
      <c r="M14" s="77">
        <f>'XM.GUI MAIL'!AK86</f>
        <v>0</v>
      </c>
      <c r="N14" s="1055" t="s">
        <v>8</v>
      </c>
      <c r="O14" s="55">
        <f>'XM.GUI MAIL'!AN86</f>
        <v>0</v>
      </c>
      <c r="P14" s="56" t="s">
        <v>9</v>
      </c>
      <c r="Q14" s="77">
        <f>'XM.GUI MAIL'!AR86</f>
        <v>0</v>
      </c>
      <c r="R14" s="54" t="s">
        <v>8</v>
      </c>
      <c r="S14" s="55">
        <f>'XM.GUI MAIL'!AU86</f>
        <v>0</v>
      </c>
      <c r="T14" s="56" t="s">
        <v>9</v>
      </c>
      <c r="U14" s="1430" t="s">
        <v>40</v>
      </c>
      <c r="W14" s="3429">
        <v>5</v>
      </c>
      <c r="X14" s="3444" t="s">
        <v>112</v>
      </c>
      <c r="Y14" s="3441" t="s">
        <v>19</v>
      </c>
      <c r="Z14" s="3442"/>
      <c r="AA14" s="3443"/>
      <c r="AB14" s="2018"/>
      <c r="AC14" s="1804" t="s">
        <v>9</v>
      </c>
      <c r="AD14" s="1791"/>
      <c r="AE14" s="1746" t="s">
        <v>4</v>
      </c>
      <c r="AF14" s="2018"/>
      <c r="AG14" s="1804" t="s">
        <v>9</v>
      </c>
      <c r="AH14" s="1791"/>
      <c r="AI14" s="1746" t="s">
        <v>4</v>
      </c>
      <c r="AJ14" s="2018"/>
      <c r="AK14" s="1804" t="s">
        <v>9</v>
      </c>
      <c r="AL14" s="1791"/>
      <c r="AM14" s="1746" t="s">
        <v>4</v>
      </c>
    </row>
    <row r="15" spans="1:39" ht="36" customHeight="1">
      <c r="A15" s="3430"/>
      <c r="B15" s="3445"/>
      <c r="C15" s="3441" t="s">
        <v>20</v>
      </c>
      <c r="D15" s="3442"/>
      <c r="E15" s="3443"/>
      <c r="F15" s="1004"/>
      <c r="G15" s="1438" t="str">
        <f>'XM.GUI MAIL'!$E$87</f>
        <v>7~10</v>
      </c>
      <c r="H15" s="2221" t="str">
        <f>'XM.GUI MAIL'!$F$87</f>
        <v>(8.5±1)</v>
      </c>
      <c r="I15" s="2208">
        <f>'XM.GUI MAIL'!AD87</f>
        <v>0</v>
      </c>
      <c r="J15" s="62" t="s">
        <v>8</v>
      </c>
      <c r="K15" s="817">
        <f>'XM.GUI MAIL'!AG87</f>
        <v>0</v>
      </c>
      <c r="L15" s="1057" t="s">
        <v>9</v>
      </c>
      <c r="M15" s="1922">
        <f>'XM.GUI MAIL'!AK87</f>
        <v>0</v>
      </c>
      <c r="N15" s="816" t="s">
        <v>8</v>
      </c>
      <c r="O15" s="817">
        <f>'XM.GUI MAIL'!AN87</f>
        <v>0</v>
      </c>
      <c r="P15" s="1057" t="s">
        <v>9</v>
      </c>
      <c r="Q15" s="1922">
        <f>'XM.GUI MAIL'!AR87</f>
        <v>0</v>
      </c>
      <c r="R15" s="62" t="s">
        <v>8</v>
      </c>
      <c r="S15" s="63">
        <f>'XM.GUI MAIL'!AU87</f>
        <v>0</v>
      </c>
      <c r="T15" s="103" t="s">
        <v>9</v>
      </c>
      <c r="U15" s="1430" t="s">
        <v>41</v>
      </c>
      <c r="W15" s="3430"/>
      <c r="X15" s="3445"/>
      <c r="Y15" s="3441" t="s">
        <v>20</v>
      </c>
      <c r="Z15" s="3442"/>
      <c r="AA15" s="3443"/>
      <c r="AB15" s="2018"/>
      <c r="AC15" s="1804" t="s">
        <v>9</v>
      </c>
      <c r="AD15" s="1791"/>
      <c r="AE15" s="1805"/>
      <c r="AF15" s="2018"/>
      <c r="AG15" s="1804" t="s">
        <v>9</v>
      </c>
      <c r="AH15" s="1791"/>
      <c r="AI15" s="1805"/>
      <c r="AJ15" s="2018"/>
      <c r="AK15" s="1804" t="s">
        <v>9</v>
      </c>
      <c r="AL15" s="1791"/>
      <c r="AM15" s="1805"/>
    </row>
    <row r="16" spans="1:39" s="7" customFormat="1" ht="36" customHeight="1">
      <c r="A16" s="3429">
        <v>6</v>
      </c>
      <c r="B16" s="3435" t="s">
        <v>1142</v>
      </c>
      <c r="C16" s="3436"/>
      <c r="D16" s="3436"/>
      <c r="E16" s="3439"/>
      <c r="F16" s="76" t="s">
        <v>3</v>
      </c>
      <c r="G16" s="1438" t="str">
        <f>'XM.GUI MAIL'!$E$88</f>
        <v>5~8</v>
      </c>
      <c r="H16" s="2221" t="str">
        <f>'XM.GUI MAIL'!$F$88</f>
        <v>(6±1)</v>
      </c>
      <c r="I16" s="2209">
        <f>'XM.GUI MAIL'!AD88</f>
        <v>-1.0461</v>
      </c>
      <c r="J16" s="54" t="s">
        <v>8</v>
      </c>
      <c r="K16" s="55">
        <f>'XM.GUI MAIL'!AG88</f>
        <v>0</v>
      </c>
      <c r="L16" s="56" t="s">
        <v>10</v>
      </c>
      <c r="M16" s="594">
        <f>'XM.GUI MAIL'!AK88</f>
        <v>-1.0461</v>
      </c>
      <c r="N16" s="1055" t="s">
        <v>8</v>
      </c>
      <c r="O16" s="55">
        <f>'XM.GUI MAIL'!AN88</f>
        <v>0</v>
      </c>
      <c r="P16" s="56" t="s">
        <v>10</v>
      </c>
      <c r="Q16" s="594">
        <f>'XM.GUI MAIL'!AR88</f>
        <v>-1.0461</v>
      </c>
      <c r="R16" s="62" t="s">
        <v>8</v>
      </c>
      <c r="S16" s="63">
        <f>'XM.GUI MAIL'!AU88</f>
        <v>0</v>
      </c>
      <c r="T16" s="29" t="s">
        <v>10</v>
      </c>
      <c r="U16" s="1430" t="s">
        <v>42</v>
      </c>
      <c r="W16" s="3429">
        <v>6</v>
      </c>
      <c r="X16" s="3435" t="s">
        <v>1142</v>
      </c>
      <c r="Y16" s="3436"/>
      <c r="Z16" s="3436"/>
      <c r="AA16" s="3439"/>
      <c r="AB16" s="2018"/>
      <c r="AC16" s="1804" t="s">
        <v>10</v>
      </c>
      <c r="AD16" s="1791"/>
      <c r="AE16" s="1806" t="s">
        <v>3</v>
      </c>
      <c r="AF16" s="2018"/>
      <c r="AG16" s="1804" t="s">
        <v>10</v>
      </c>
      <c r="AH16" s="1791"/>
      <c r="AI16" s="1806" t="s">
        <v>3</v>
      </c>
      <c r="AJ16" s="2018"/>
      <c r="AK16" s="1804" t="s">
        <v>10</v>
      </c>
      <c r="AL16" s="1791"/>
      <c r="AM16" s="1806" t="s">
        <v>3</v>
      </c>
    </row>
    <row r="17" spans="1:39" ht="29.25" customHeight="1">
      <c r="A17" s="3430"/>
      <c r="B17" s="3437"/>
      <c r="C17" s="3438"/>
      <c r="D17" s="3438"/>
      <c r="E17" s="3440"/>
      <c r="F17" s="76" t="s">
        <v>5</v>
      </c>
      <c r="G17" s="1438" t="str">
        <f>'XM.GUI MAIL'!$E$89</f>
        <v>2.0~2.4</v>
      </c>
      <c r="H17" s="2221" t="str">
        <f>'XM.GUI MAIL'!$F$89</f>
        <v>(2.2±0.1)</v>
      </c>
      <c r="I17" s="2208">
        <f>'XM.GUI MAIL'!AD89</f>
        <v>0</v>
      </c>
      <c r="J17" s="816"/>
      <c r="K17" s="55">
        <f>'XM.GUI MAIL'!AG89</f>
        <v>0</v>
      </c>
      <c r="L17" s="1058"/>
      <c r="M17" s="1922">
        <f>'XM.GUI MAIL'!AK89</f>
        <v>0</v>
      </c>
      <c r="N17" s="816"/>
      <c r="O17" s="817"/>
      <c r="P17" s="1058"/>
      <c r="Q17" s="1922">
        <f>'XM.GUI MAIL'!AR89</f>
        <v>0</v>
      </c>
      <c r="R17" s="62"/>
      <c r="S17" s="63"/>
      <c r="T17" s="29"/>
      <c r="U17" s="102"/>
      <c r="W17" s="3430"/>
      <c r="X17" s="3437"/>
      <c r="Y17" s="3438"/>
      <c r="Z17" s="3438"/>
      <c r="AA17" s="3440"/>
      <c r="AB17" s="2018"/>
      <c r="AC17" s="1804"/>
      <c r="AD17" s="1791"/>
      <c r="AE17" s="1806" t="s">
        <v>5</v>
      </c>
      <c r="AF17" s="2018"/>
      <c r="AG17" s="1804"/>
      <c r="AH17" s="1791"/>
      <c r="AI17" s="1806" t="s">
        <v>5</v>
      </c>
      <c r="AJ17" s="2018"/>
      <c r="AK17" s="1804"/>
      <c r="AL17" s="1791"/>
      <c r="AM17" s="1806" t="s">
        <v>5</v>
      </c>
    </row>
    <row r="18" spans="1:39" ht="36" customHeight="1">
      <c r="A18" s="1434">
        <v>7</v>
      </c>
      <c r="B18" s="3239" t="s">
        <v>1592</v>
      </c>
      <c r="C18" s="3240"/>
      <c r="D18" s="3240"/>
      <c r="E18" s="3241"/>
      <c r="F18" s="76" t="s">
        <v>6</v>
      </c>
      <c r="G18" s="1006" t="str">
        <f>'XM.GUI MAIL'!E90</f>
        <v>40~50</v>
      </c>
      <c r="H18" s="2222" t="str">
        <f>'XM.GUI MAIL'!F90</f>
        <v>(45±5)</v>
      </c>
      <c r="I18" s="1747">
        <f>'XM.GUI MAIL'!AD90</f>
        <v>0</v>
      </c>
      <c r="J18" s="62" t="s">
        <v>8</v>
      </c>
      <c r="K18" s="63">
        <f>'XM.GUI MAIL'!AG90</f>
        <v>0</v>
      </c>
      <c r="L18" s="29" t="s">
        <v>10</v>
      </c>
      <c r="M18" s="1747">
        <f>'XM.GUI MAIL'!AK90</f>
        <v>0</v>
      </c>
      <c r="N18" s="62" t="s">
        <v>8</v>
      </c>
      <c r="O18" s="63">
        <f>'XM.GUI MAIL'!AN90</f>
        <v>0</v>
      </c>
      <c r="P18" s="29" t="s">
        <v>10</v>
      </c>
      <c r="Q18" s="1747">
        <f>'XM.GUI MAIL'!AR90</f>
        <v>0</v>
      </c>
      <c r="R18" s="62" t="s">
        <v>8</v>
      </c>
      <c r="S18" s="63">
        <f>'XM.GUI MAIL'!AU90</f>
        <v>0</v>
      </c>
      <c r="T18" s="29" t="s">
        <v>10</v>
      </c>
      <c r="U18" s="1430" t="s">
        <v>43</v>
      </c>
      <c r="W18" s="1440">
        <v>7</v>
      </c>
      <c r="X18" s="3239" t="s">
        <v>1592</v>
      </c>
      <c r="Y18" s="3240"/>
      <c r="Z18" s="3240"/>
      <c r="AA18" s="3241"/>
      <c r="AB18" s="2018"/>
      <c r="AC18" s="1804"/>
      <c r="AD18" s="1791"/>
      <c r="AE18" s="1806" t="s">
        <v>6</v>
      </c>
      <c r="AF18" s="2018"/>
      <c r="AG18" s="1804"/>
      <c r="AH18" s="1791"/>
      <c r="AI18" s="1806" t="s">
        <v>6</v>
      </c>
      <c r="AJ18" s="2018"/>
      <c r="AK18" s="1804"/>
      <c r="AL18" s="1791"/>
      <c r="AM18" s="1806" t="s">
        <v>6</v>
      </c>
    </row>
    <row r="19" spans="1:39" ht="36" hidden="1" customHeight="1">
      <c r="A19" s="2261">
        <v>8</v>
      </c>
      <c r="B19" s="3264" t="s">
        <v>1586</v>
      </c>
      <c r="C19" s="3265"/>
      <c r="D19" s="3265"/>
      <c r="E19" s="3266"/>
      <c r="F19" s="76" t="s">
        <v>6</v>
      </c>
      <c r="G19" s="1006" t="str">
        <f>'XM.GUI MAIL'!E91</f>
        <v>10~20</v>
      </c>
      <c r="H19" s="2222" t="str">
        <f>'XM.GUI MAIL'!F91</f>
        <v>(15±5)</v>
      </c>
      <c r="I19" s="1736">
        <f>'XM.GUI MAIL'!AD91</f>
        <v>0</v>
      </c>
      <c r="J19" s="62" t="s">
        <v>8</v>
      </c>
      <c r="K19" s="63">
        <f>'XM.GUI MAIL'!AG91</f>
        <v>0</v>
      </c>
      <c r="L19" s="29" t="s">
        <v>10</v>
      </c>
      <c r="M19" s="1736">
        <f>'XM.GUI MAIL'!AK91</f>
        <v>0</v>
      </c>
      <c r="N19" s="62" t="s">
        <v>8</v>
      </c>
      <c r="O19" s="63">
        <f>'XM.GUI MAIL'!AN91</f>
        <v>0</v>
      </c>
      <c r="P19" s="29" t="s">
        <v>10</v>
      </c>
      <c r="Q19" s="1736">
        <f>'XM.GUI MAIL'!AR91</f>
        <v>0</v>
      </c>
      <c r="R19" s="62" t="s">
        <v>8</v>
      </c>
      <c r="S19" s="63">
        <f>'XM.GUI MAIL'!AU91</f>
        <v>0</v>
      </c>
      <c r="T19" s="29" t="s">
        <v>10</v>
      </c>
      <c r="U19" s="2260" t="s">
        <v>43</v>
      </c>
      <c r="W19" s="2261">
        <v>7</v>
      </c>
      <c r="X19" s="3264" t="s">
        <v>1586</v>
      </c>
      <c r="Y19" s="3265"/>
      <c r="Z19" s="3265"/>
      <c r="AA19" s="3266"/>
      <c r="AB19" s="2018"/>
      <c r="AC19" s="1804"/>
      <c r="AD19" s="1791"/>
      <c r="AE19" s="1806" t="s">
        <v>6</v>
      </c>
      <c r="AF19" s="2018"/>
      <c r="AG19" s="1804"/>
      <c r="AH19" s="1791"/>
      <c r="AI19" s="1806" t="s">
        <v>6</v>
      </c>
      <c r="AJ19" s="2018"/>
      <c r="AK19" s="1804"/>
      <c r="AL19" s="1791"/>
      <c r="AM19" s="1806" t="s">
        <v>6</v>
      </c>
    </row>
    <row r="20" spans="1:39" ht="36" customHeight="1">
      <c r="A20" s="1434">
        <v>9</v>
      </c>
      <c r="B20" s="3239" t="s">
        <v>1584</v>
      </c>
      <c r="C20" s="3240"/>
      <c r="D20" s="3240"/>
      <c r="E20" s="3241"/>
      <c r="F20" s="76" t="s">
        <v>6</v>
      </c>
      <c r="G20" s="1006" t="str">
        <f>'XM.GUI MAIL'!E92</f>
        <v>40~50</v>
      </c>
      <c r="H20" s="2222" t="str">
        <f>'XM.GUI MAIL'!F92</f>
        <v>(45±5)</v>
      </c>
      <c r="I20" s="1747">
        <f>'XM.GUI MAIL'!AD92</f>
        <v>0</v>
      </c>
      <c r="J20" s="1404" t="s">
        <v>8</v>
      </c>
      <c r="K20" s="1405">
        <f>'XM.GUI MAIL'!AG92</f>
        <v>0</v>
      </c>
      <c r="L20" s="29" t="s">
        <v>10</v>
      </c>
      <c r="M20" s="1747">
        <f>'XM.GUI MAIL'!AK92</f>
        <v>0</v>
      </c>
      <c r="N20" s="1404" t="s">
        <v>8</v>
      </c>
      <c r="O20" s="1405">
        <f>'XM.GUI MAIL'!AN92</f>
        <v>0</v>
      </c>
      <c r="P20" s="29" t="s">
        <v>10</v>
      </c>
      <c r="Q20" s="1747">
        <f>'XM.GUI MAIL'!AR92</f>
        <v>0</v>
      </c>
      <c r="R20" s="62" t="s">
        <v>8</v>
      </c>
      <c r="S20" s="63">
        <f>'XM.GUI MAIL'!AU92</f>
        <v>0</v>
      </c>
      <c r="T20" s="29" t="s">
        <v>10</v>
      </c>
      <c r="U20" s="1007" t="s">
        <v>43</v>
      </c>
      <c r="W20" s="1440">
        <v>8</v>
      </c>
      <c r="X20" s="3239" t="s">
        <v>1584</v>
      </c>
      <c r="Y20" s="3240"/>
      <c r="Z20" s="3240"/>
      <c r="AA20" s="3241"/>
      <c r="AB20" s="2018"/>
      <c r="AC20" s="1804" t="s">
        <v>10</v>
      </c>
      <c r="AD20" s="1791"/>
      <c r="AE20" s="1806" t="s">
        <v>6</v>
      </c>
      <c r="AF20" s="2018"/>
      <c r="AG20" s="1804" t="s">
        <v>10</v>
      </c>
      <c r="AH20" s="1791"/>
      <c r="AI20" s="1806" t="s">
        <v>6</v>
      </c>
      <c r="AJ20" s="2018"/>
      <c r="AK20" s="1804" t="s">
        <v>10</v>
      </c>
      <c r="AL20" s="1791"/>
      <c r="AM20" s="1806" t="s">
        <v>6</v>
      </c>
    </row>
    <row r="21" spans="1:39" ht="36" customHeight="1">
      <c r="A21" s="1434">
        <v>10</v>
      </c>
      <c r="B21" s="3239" t="s">
        <v>1585</v>
      </c>
      <c r="C21" s="3240"/>
      <c r="D21" s="3240"/>
      <c r="E21" s="3241"/>
      <c r="F21" s="76" t="s">
        <v>6</v>
      </c>
      <c r="G21" s="1006" t="str">
        <f>'XM.GUI MAIL'!E93</f>
        <v>40~50</v>
      </c>
      <c r="H21" s="2222" t="str">
        <f>'XM.GUI MAIL'!F93</f>
        <v>(45±5)</v>
      </c>
      <c r="I21" s="1747">
        <f>'XM.GUI MAIL'!AD93</f>
        <v>0</v>
      </c>
      <c r="J21" s="1404" t="s">
        <v>8</v>
      </c>
      <c r="K21" s="1405">
        <f>'XM.GUI MAIL'!AG93</f>
        <v>0</v>
      </c>
      <c r="L21" s="1406" t="s">
        <v>10</v>
      </c>
      <c r="M21" s="1747">
        <f>'XM.GUI MAIL'!AK93</f>
        <v>0</v>
      </c>
      <c r="N21" s="1404" t="s">
        <v>8</v>
      </c>
      <c r="O21" s="1405">
        <f>'XM.GUI MAIL'!AN93</f>
        <v>0</v>
      </c>
      <c r="P21" s="1406" t="s">
        <v>10</v>
      </c>
      <c r="Q21" s="1747">
        <f>'XM.GUI MAIL'!AR93</f>
        <v>0</v>
      </c>
      <c r="R21" s="62" t="s">
        <v>8</v>
      </c>
      <c r="S21" s="63">
        <f>'XM.GUI MAIL'!AU93</f>
        <v>0</v>
      </c>
      <c r="T21" s="29" t="s">
        <v>10</v>
      </c>
      <c r="U21" s="1430" t="s">
        <v>44</v>
      </c>
      <c r="W21" s="1440">
        <v>9</v>
      </c>
      <c r="X21" s="3239" t="s">
        <v>1585</v>
      </c>
      <c r="Y21" s="3240"/>
      <c r="Z21" s="3240"/>
      <c r="AA21" s="3241"/>
      <c r="AB21" s="2018"/>
      <c r="AC21" s="1804" t="s">
        <v>10</v>
      </c>
      <c r="AD21" s="1791"/>
      <c r="AE21" s="1806" t="s">
        <v>6</v>
      </c>
      <c r="AF21" s="2018"/>
      <c r="AG21" s="1804" t="s">
        <v>10</v>
      </c>
      <c r="AH21" s="1791"/>
      <c r="AI21" s="1806" t="s">
        <v>6</v>
      </c>
      <c r="AJ21" s="2018"/>
      <c r="AK21" s="1804" t="s">
        <v>10</v>
      </c>
      <c r="AL21" s="1791"/>
      <c r="AM21" s="1806" t="s">
        <v>6</v>
      </c>
    </row>
    <row r="22" spans="1:39" ht="36" customHeight="1">
      <c r="A22" s="1434">
        <v>11</v>
      </c>
      <c r="B22" s="3432" t="s">
        <v>970</v>
      </c>
      <c r="C22" s="3433" t="s">
        <v>970</v>
      </c>
      <c r="D22" s="3433" t="s">
        <v>970</v>
      </c>
      <c r="E22" s="3434" t="s">
        <v>970</v>
      </c>
      <c r="F22" s="76" t="s">
        <v>6</v>
      </c>
      <c r="G22" s="1006" t="str">
        <f>'XM.GUI MAIL'!$E$94</f>
        <v>0.5~1.0</v>
      </c>
      <c r="H22" s="2222" t="str">
        <f>'XM.GUI MAIL'!$F$94</f>
        <v>(0.7±0.1)</v>
      </c>
      <c r="I22" s="1767">
        <f>'XM.GUI MAIL'!AD94</f>
        <v>0</v>
      </c>
      <c r="J22" s="1404" t="s">
        <v>8</v>
      </c>
      <c r="K22" s="1409">
        <f>'XM.GUI MAIL'!AG94</f>
        <v>0</v>
      </c>
      <c r="L22" s="1406" t="s">
        <v>10</v>
      </c>
      <c r="M22" s="1767">
        <f>'XM.GUI MAIL'!AK94</f>
        <v>0</v>
      </c>
      <c r="N22" s="1404" t="s">
        <v>8</v>
      </c>
      <c r="O22" s="1409">
        <f>'XM.GUI MAIL'!AN94</f>
        <v>0</v>
      </c>
      <c r="P22" s="1406" t="s">
        <v>10</v>
      </c>
      <c r="Q22" s="1767">
        <f>'XM.GUI MAIL'!AR94</f>
        <v>0</v>
      </c>
      <c r="R22" s="62" t="s">
        <v>8</v>
      </c>
      <c r="S22" s="65">
        <f>'XM.GUI MAIL'!AU94</f>
        <v>0</v>
      </c>
      <c r="T22" s="67" t="s">
        <v>10</v>
      </c>
      <c r="U22" s="1430" t="s">
        <v>44</v>
      </c>
      <c r="W22" s="1440">
        <v>10</v>
      </c>
      <c r="X22" s="3432" t="s">
        <v>970</v>
      </c>
      <c r="Y22" s="3433" t="s">
        <v>970</v>
      </c>
      <c r="Z22" s="3433" t="s">
        <v>970</v>
      </c>
      <c r="AA22" s="3434" t="s">
        <v>970</v>
      </c>
      <c r="AB22" s="2018"/>
      <c r="AC22" s="1804" t="s">
        <v>10</v>
      </c>
      <c r="AD22" s="1791"/>
      <c r="AE22" s="1806" t="s">
        <v>6</v>
      </c>
      <c r="AF22" s="2018"/>
      <c r="AG22" s="1804" t="s">
        <v>10</v>
      </c>
      <c r="AH22" s="1791"/>
      <c r="AI22" s="1806" t="s">
        <v>6</v>
      </c>
      <c r="AJ22" s="2018"/>
      <c r="AK22" s="1804" t="s">
        <v>10</v>
      </c>
      <c r="AL22" s="1791"/>
      <c r="AM22" s="1806" t="s">
        <v>6</v>
      </c>
    </row>
    <row r="23" spans="1:39" s="19" customFormat="1" ht="31.5" customHeight="1">
      <c r="A23" s="3374">
        <v>12</v>
      </c>
      <c r="B23" s="3143" t="str">
        <f>'[7]XM.GUI MAIL'!$C$94</f>
        <v>Nồng độ   Cr2O3 （K) 三價鉻 
FINIDIP 124  (49)</v>
      </c>
      <c r="C23" s="3144"/>
      <c r="D23" s="3144"/>
      <c r="E23" s="3145"/>
      <c r="F23" s="2" t="s">
        <v>3</v>
      </c>
      <c r="G23" s="897" t="str">
        <f>'XM.GUI MAIL'!$E$95</f>
        <v>5~8</v>
      </c>
      <c r="H23" s="2202" t="str">
        <f>'XM.GUI MAIL'!$F$95</f>
        <v>(6±0.5)</v>
      </c>
      <c r="I23" s="2176" t="str">
        <f>'XM.GUI MAIL'!AD95</f>
        <v/>
      </c>
      <c r="J23" s="62" t="s">
        <v>8</v>
      </c>
      <c r="K23" s="65" t="str">
        <f>'XM.GUI MAIL'!AG95</f>
        <v/>
      </c>
      <c r="L23" s="67" t="s">
        <v>10</v>
      </c>
      <c r="M23" s="2176" t="str">
        <f>'XM.GUI MAIL'!AK95</f>
        <v/>
      </c>
      <c r="N23" s="62" t="s">
        <v>8</v>
      </c>
      <c r="O23" s="65" t="str">
        <f>'XM.GUI MAIL'!AN95</f>
        <v/>
      </c>
      <c r="P23" s="67" t="s">
        <v>10</v>
      </c>
      <c r="Q23" s="2176" t="str">
        <f>'XM.GUI MAIL'!AR95</f>
        <v/>
      </c>
      <c r="R23" s="62" t="s">
        <v>8</v>
      </c>
      <c r="S23" s="65" t="str">
        <f>'XM.GUI MAIL'!AU95</f>
        <v/>
      </c>
      <c r="T23" s="67" t="s">
        <v>10</v>
      </c>
      <c r="U23" s="270"/>
      <c r="W23" s="3374">
        <v>11</v>
      </c>
      <c r="X23" s="3143" t="s">
        <v>73</v>
      </c>
      <c r="Y23" s="3144"/>
      <c r="Z23" s="3144"/>
      <c r="AA23" s="3145"/>
      <c r="AB23" s="2018"/>
      <c r="AC23" s="1804" t="s">
        <v>10</v>
      </c>
      <c r="AD23" s="1791"/>
      <c r="AE23" s="1807" t="s">
        <v>3</v>
      </c>
      <c r="AF23" s="2018"/>
      <c r="AG23" s="1804" t="s">
        <v>10</v>
      </c>
      <c r="AH23" s="1791"/>
      <c r="AI23" s="1807" t="s">
        <v>3</v>
      </c>
      <c r="AJ23" s="2018"/>
      <c r="AK23" s="1804" t="s">
        <v>10</v>
      </c>
      <c r="AL23" s="1791"/>
      <c r="AM23" s="1807" t="s">
        <v>3</v>
      </c>
    </row>
    <row r="24" spans="1:39" s="19" customFormat="1" ht="31.5" customHeight="1">
      <c r="A24" s="3375"/>
      <c r="B24" s="3416"/>
      <c r="C24" s="3407"/>
      <c r="D24" s="3407"/>
      <c r="E24" s="3408"/>
      <c r="F24" s="2" t="s">
        <v>5</v>
      </c>
      <c r="G24" s="897" t="str">
        <f>'XM.GUI MAIL'!$E$96</f>
        <v>1.8~2.4</v>
      </c>
      <c r="H24" s="2202" t="str">
        <f>'XM.GUI MAIL'!$F$96</f>
        <v>(2.1±0.1)</v>
      </c>
      <c r="I24" s="1761">
        <f>'XM.GUI MAIL'!AD96</f>
        <v>0</v>
      </c>
      <c r="J24" s="62" t="s">
        <v>8</v>
      </c>
      <c r="K24" s="65">
        <f>'XM.GUI MAIL'!AG96</f>
        <v>0</v>
      </c>
      <c r="L24" s="67" t="s">
        <v>10</v>
      </c>
      <c r="M24" s="1761">
        <f>'XM.GUI MAIL'!AK96</f>
        <v>0</v>
      </c>
      <c r="N24" s="62" t="s">
        <v>8</v>
      </c>
      <c r="O24" s="65">
        <f>'XM.GUI MAIL'!AN96</f>
        <v>0</v>
      </c>
      <c r="P24" s="67" t="s">
        <v>10</v>
      </c>
      <c r="Q24" s="1761">
        <f>'XM.GUI MAIL'!AR96</f>
        <v>0</v>
      </c>
      <c r="R24" s="62" t="s">
        <v>8</v>
      </c>
      <c r="S24" s="65">
        <f>'XM.GUI MAIL'!AU96</f>
        <v>0</v>
      </c>
      <c r="T24" s="67"/>
      <c r="U24" s="270"/>
      <c r="W24" s="3375"/>
      <c r="X24" s="3146"/>
      <c r="Y24" s="3147"/>
      <c r="Z24" s="3147"/>
      <c r="AA24" s="3148"/>
      <c r="AB24" s="2019"/>
      <c r="AC24" s="1804"/>
      <c r="AD24" s="1795"/>
      <c r="AE24" s="1746"/>
      <c r="AF24" s="2019"/>
      <c r="AG24" s="1804"/>
      <c r="AH24" s="1795"/>
      <c r="AI24" s="1746"/>
      <c r="AJ24" s="2019"/>
      <c r="AK24" s="1804"/>
      <c r="AL24" s="1795"/>
      <c r="AM24" s="1746"/>
    </row>
    <row r="25" spans="1:39" s="19" customFormat="1" ht="32.25" hidden="1" customHeight="1">
      <c r="A25" s="1189"/>
      <c r="B25" s="3423" t="s">
        <v>1143</v>
      </c>
      <c r="C25" s="3424"/>
      <c r="D25" s="3424"/>
      <c r="E25" s="3425"/>
      <c r="F25" s="632" t="s">
        <v>3</v>
      </c>
      <c r="G25" s="1378" t="str">
        <f>'XM.GUI MAIL'!$E$97</f>
        <v>8~16 %</v>
      </c>
      <c r="H25" s="1378"/>
      <c r="I25" s="1179" t="str">
        <f>'XM.GUI MAIL'!AD97</f>
        <v/>
      </c>
      <c r="J25" s="1190" t="s">
        <v>8</v>
      </c>
      <c r="K25" s="1191" t="str">
        <f>'XM.GUI MAIL'!AG97</f>
        <v/>
      </c>
      <c r="L25" s="1195" t="s">
        <v>10</v>
      </c>
      <c r="M25" s="1179" t="str">
        <f>'XM.GUI MAIL'!AK97</f>
        <v/>
      </c>
      <c r="N25" s="1190" t="s">
        <v>8</v>
      </c>
      <c r="O25" s="1191" t="str">
        <f>'XM.GUI MAIL'!AN97</f>
        <v/>
      </c>
      <c r="P25" s="1195" t="s">
        <v>10</v>
      </c>
      <c r="Q25" s="1179" t="str">
        <f>'XM.GUI MAIL'!AR97</f>
        <v/>
      </c>
      <c r="R25" s="1190" t="s">
        <v>8</v>
      </c>
      <c r="S25" s="1191" t="str">
        <f>'XM.GUI MAIL'!AU97</f>
        <v/>
      </c>
      <c r="T25" s="29"/>
      <c r="U25" s="102"/>
      <c r="W25" s="1189"/>
      <c r="X25" s="3423" t="s">
        <v>1143</v>
      </c>
      <c r="Y25" s="3424"/>
      <c r="Z25" s="3424"/>
      <c r="AA25" s="3425"/>
      <c r="AB25" s="1447"/>
      <c r="AC25" s="1447"/>
      <c r="AD25" s="1447"/>
      <c r="AE25" s="1447"/>
      <c r="AF25" s="1447"/>
      <c r="AG25" s="698"/>
      <c r="AH25" s="698"/>
      <c r="AJ25" s="8"/>
      <c r="AK25" s="8"/>
      <c r="AL25" s="8"/>
    </row>
    <row r="26" spans="1:39" s="19" customFormat="1" ht="32.25" hidden="1" customHeight="1">
      <c r="A26" s="1189"/>
      <c r="B26" s="3426"/>
      <c r="C26" s="3427"/>
      <c r="D26" s="3427"/>
      <c r="E26" s="3428"/>
      <c r="F26" s="632" t="s">
        <v>5</v>
      </c>
      <c r="G26" s="1378" t="str">
        <f>'XM.GUI MAIL'!$E$98</f>
        <v>1.8~2.4</v>
      </c>
      <c r="H26" s="1378"/>
      <c r="I26" s="1196">
        <f>'XM.GUI MAIL'!AD98</f>
        <v>0</v>
      </c>
      <c r="J26" s="1190" t="s">
        <v>8</v>
      </c>
      <c r="K26" s="1193"/>
      <c r="L26" s="1195" t="s">
        <v>10</v>
      </c>
      <c r="M26" s="1196">
        <f>'XM.GUI MAIL'!AK98</f>
        <v>0</v>
      </c>
      <c r="N26" s="1190" t="s">
        <v>8</v>
      </c>
      <c r="O26" s="1193"/>
      <c r="P26" s="1195" t="s">
        <v>10</v>
      </c>
      <c r="Q26" s="1196">
        <f>'XM.GUI MAIL'!AR98</f>
        <v>0</v>
      </c>
      <c r="R26" s="1190" t="s">
        <v>8</v>
      </c>
      <c r="S26" s="1193"/>
      <c r="T26" s="29"/>
      <c r="U26" s="102"/>
      <c r="W26" s="1189"/>
      <c r="X26" s="3426"/>
      <c r="Y26" s="3427"/>
      <c r="Z26" s="3427"/>
      <c r="AA26" s="3428"/>
      <c r="AB26" s="1447"/>
      <c r="AC26" s="1447"/>
      <c r="AD26" s="1447"/>
      <c r="AE26" s="1447"/>
      <c r="AF26" s="1447"/>
      <c r="AG26" s="698"/>
      <c r="AH26" s="698"/>
      <c r="AJ26" s="8"/>
      <c r="AK26" s="8"/>
      <c r="AL26" s="8"/>
    </row>
    <row r="27" spans="1:39" ht="30.75" customHeight="1">
      <c r="A27" s="1434"/>
      <c r="B27" s="250"/>
      <c r="C27" s="251"/>
      <c r="D27" s="251"/>
      <c r="E27" s="251"/>
      <c r="F27" s="251"/>
      <c r="G27" s="2155" t="s">
        <v>2</v>
      </c>
      <c r="H27" s="987"/>
      <c r="I27" s="253"/>
      <c r="J27" s="251"/>
      <c r="K27" s="251"/>
      <c r="L27" s="251"/>
      <c r="M27" s="251"/>
      <c r="N27" s="251"/>
      <c r="O27" s="251"/>
      <c r="P27" s="251"/>
      <c r="Q27" s="251"/>
      <c r="R27" s="251"/>
      <c r="S27" s="251"/>
      <c r="T27" s="251"/>
      <c r="U27" s="252"/>
      <c r="W27" s="1440"/>
      <c r="X27" s="250"/>
      <c r="Y27" s="251"/>
      <c r="Z27" s="251"/>
      <c r="AA27" s="251"/>
      <c r="AB27" s="251"/>
      <c r="AC27" s="251"/>
      <c r="AD27" s="251"/>
      <c r="AE27" s="251"/>
      <c r="AF27" s="251"/>
      <c r="AG27" s="165"/>
      <c r="AH27" s="165"/>
    </row>
    <row r="28" spans="1:39" ht="56.25" customHeight="1">
      <c r="A28" s="1434" t="s">
        <v>7</v>
      </c>
      <c r="B28" s="3417" t="s">
        <v>21</v>
      </c>
      <c r="C28" s="3418"/>
      <c r="D28" s="3418"/>
      <c r="E28" s="3419"/>
      <c r="F28" s="74" t="s">
        <v>22</v>
      </c>
      <c r="G28" s="975" t="s">
        <v>1296</v>
      </c>
      <c r="H28" s="2204" t="s">
        <v>1289</v>
      </c>
      <c r="I28" s="3293" t="s">
        <v>24</v>
      </c>
      <c r="J28" s="3294"/>
      <c r="K28" s="3292" t="s">
        <v>25</v>
      </c>
      <c r="L28" s="3294"/>
      <c r="M28" s="3292" t="s">
        <v>24</v>
      </c>
      <c r="N28" s="3294"/>
      <c r="O28" s="3292" t="s">
        <v>25</v>
      </c>
      <c r="P28" s="3294"/>
      <c r="Q28" s="3292" t="s">
        <v>24</v>
      </c>
      <c r="R28" s="3294"/>
      <c r="S28" s="3292" t="s">
        <v>25</v>
      </c>
      <c r="T28" s="3294"/>
      <c r="U28" s="10"/>
      <c r="W28" s="1440" t="s">
        <v>7</v>
      </c>
      <c r="X28" s="3417" t="s">
        <v>21</v>
      </c>
      <c r="Y28" s="3418"/>
      <c r="Z28" s="3418"/>
      <c r="AA28" s="3419"/>
      <c r="AB28" s="3366" t="s">
        <v>1345</v>
      </c>
      <c r="AC28" s="3199"/>
      <c r="AD28" s="3199"/>
      <c r="AE28" s="3200"/>
      <c r="AF28" s="3366" t="s">
        <v>1345</v>
      </c>
      <c r="AG28" s="3199"/>
      <c r="AH28" s="3199"/>
      <c r="AI28" s="3200"/>
      <c r="AJ28" s="3366" t="s">
        <v>1345</v>
      </c>
      <c r="AK28" s="3199"/>
      <c r="AL28" s="3199"/>
      <c r="AM28" s="3200"/>
    </row>
    <row r="29" spans="1:39" ht="35.25" customHeight="1">
      <c r="A29" s="1434">
        <v>1</v>
      </c>
      <c r="B29" s="3417" t="s">
        <v>34</v>
      </c>
      <c r="C29" s="3418"/>
      <c r="D29" s="3418"/>
      <c r="E29" s="3419"/>
      <c r="F29" s="11" t="s">
        <v>26</v>
      </c>
      <c r="G29" s="1008" t="str">
        <f>'XM.GUI MAIL'!$E$105</f>
        <v>50~70</v>
      </c>
      <c r="H29" s="2206" t="str">
        <f>'XM.GUI MAIL'!$F$105</f>
        <v>(60±5)</v>
      </c>
      <c r="I29" s="3195">
        <f>'XM.GUI MAIL'!AD105</f>
        <v>0</v>
      </c>
      <c r="J29" s="3121"/>
      <c r="K29" s="3121">
        <f>'XM.GUI MAIL'!AG105</f>
        <v>0</v>
      </c>
      <c r="L29" s="3121"/>
      <c r="M29" s="3121">
        <f>'XM.GUI MAIL'!AK105</f>
        <v>0</v>
      </c>
      <c r="N29" s="3121"/>
      <c r="O29" s="3121">
        <f>'XM.GUI MAIL'!AN105</f>
        <v>0</v>
      </c>
      <c r="P29" s="3121"/>
      <c r="Q29" s="3121">
        <f>'XM.GUI MAIL'!AR105</f>
        <v>0</v>
      </c>
      <c r="R29" s="3121"/>
      <c r="S29" s="3121">
        <f>'XM.GUI MAIL'!AU105</f>
        <v>0</v>
      </c>
      <c r="T29" s="3121"/>
      <c r="U29" s="1434"/>
      <c r="W29" s="1440">
        <v>1</v>
      </c>
      <c r="X29" s="3417" t="s">
        <v>34</v>
      </c>
      <c r="Y29" s="3418"/>
      <c r="Z29" s="3418"/>
      <c r="AA29" s="3419"/>
      <c r="AB29" s="1505"/>
      <c r="AC29" s="1787"/>
      <c r="AD29" s="1787"/>
      <c r="AE29" s="1506"/>
      <c r="AF29" s="1599"/>
      <c r="AG29" s="1787"/>
      <c r="AH29" s="1787"/>
      <c r="AI29" s="1506"/>
      <c r="AJ29" s="1505"/>
      <c r="AK29" s="1787"/>
      <c r="AL29" s="1787"/>
      <c r="AM29" s="1506"/>
    </row>
    <row r="30" spans="1:39" ht="35.25" customHeight="1">
      <c r="A30" s="1434">
        <v>2</v>
      </c>
      <c r="B30" s="3417" t="s">
        <v>35</v>
      </c>
      <c r="C30" s="3418"/>
      <c r="D30" s="3418"/>
      <c r="E30" s="3419"/>
      <c r="F30" s="11" t="s">
        <v>26</v>
      </c>
      <c r="G30" s="1008" t="str">
        <f>'XM.GUI MAIL'!$E$106</f>
        <v>50~70</v>
      </c>
      <c r="H30" s="2206" t="str">
        <f>'XM.GUI MAIL'!$F$106</f>
        <v>(60±5)</v>
      </c>
      <c r="I30" s="3195">
        <f>'XM.GUI MAIL'!AD106</f>
        <v>0</v>
      </c>
      <c r="J30" s="3121"/>
      <c r="K30" s="3121">
        <f>'XM.GUI MAIL'!AG106</f>
        <v>0</v>
      </c>
      <c r="L30" s="3121"/>
      <c r="M30" s="3121">
        <f>'XM.GUI MAIL'!AK106</f>
        <v>0</v>
      </c>
      <c r="N30" s="3121"/>
      <c r="O30" s="3121">
        <f>'XM.GUI MAIL'!AN106</f>
        <v>0</v>
      </c>
      <c r="P30" s="3121"/>
      <c r="Q30" s="3121">
        <f>'XM.GUI MAIL'!AR106</f>
        <v>0</v>
      </c>
      <c r="R30" s="3121"/>
      <c r="S30" s="3121">
        <f>'XM.GUI MAIL'!AU106</f>
        <v>0</v>
      </c>
      <c r="T30" s="3121"/>
      <c r="U30" s="1434"/>
      <c r="W30" s="1440">
        <v>2</v>
      </c>
      <c r="X30" s="3417" t="s">
        <v>35</v>
      </c>
      <c r="Y30" s="3418"/>
      <c r="Z30" s="3418"/>
      <c r="AA30" s="3419"/>
      <c r="AB30" s="1505"/>
      <c r="AC30" s="1787"/>
      <c r="AD30" s="1787"/>
      <c r="AE30" s="1506"/>
      <c r="AF30" s="1599"/>
      <c r="AG30" s="1787"/>
      <c r="AH30" s="1787"/>
      <c r="AI30" s="1506"/>
      <c r="AJ30" s="1505"/>
      <c r="AK30" s="1787"/>
      <c r="AL30" s="1787"/>
      <c r="AM30" s="1506"/>
    </row>
    <row r="31" spans="1:39" ht="35.25" customHeight="1">
      <c r="A31" s="1434">
        <v>3</v>
      </c>
      <c r="B31" s="3417" t="s">
        <v>27</v>
      </c>
      <c r="C31" s="3418"/>
      <c r="D31" s="3418"/>
      <c r="E31" s="3419"/>
      <c r="F31" s="11" t="s">
        <v>26</v>
      </c>
      <c r="G31" s="1008" t="str">
        <f>'XM.GUI MAIL'!$E$107</f>
        <v>50~70</v>
      </c>
      <c r="H31" s="2206" t="str">
        <f>'XM.GUI MAIL'!$F$107</f>
        <v>(60±5)</v>
      </c>
      <c r="I31" s="3195">
        <f>'XM.GUI MAIL'!AD107</f>
        <v>0</v>
      </c>
      <c r="J31" s="3121"/>
      <c r="K31" s="3121">
        <f>'XM.GUI MAIL'!AG107</f>
        <v>0</v>
      </c>
      <c r="L31" s="3121"/>
      <c r="M31" s="3121">
        <f>'XM.GUI MAIL'!AK107</f>
        <v>0</v>
      </c>
      <c r="N31" s="3121"/>
      <c r="O31" s="3121">
        <f>'XM.GUI MAIL'!AN107</f>
        <v>0</v>
      </c>
      <c r="P31" s="3121"/>
      <c r="Q31" s="3121">
        <f>'XM.GUI MAIL'!AR107</f>
        <v>0</v>
      </c>
      <c r="R31" s="3121"/>
      <c r="S31" s="3121">
        <f>'XM.GUI MAIL'!AU107</f>
        <v>0</v>
      </c>
      <c r="T31" s="3121"/>
      <c r="U31" s="1434"/>
      <c r="W31" s="1440">
        <v>3</v>
      </c>
      <c r="X31" s="3417" t="s">
        <v>27</v>
      </c>
      <c r="Y31" s="3418"/>
      <c r="Z31" s="3418"/>
      <c r="AA31" s="3419"/>
      <c r="AB31" s="1505"/>
      <c r="AC31" s="1787"/>
      <c r="AD31" s="1787"/>
      <c r="AE31" s="1506"/>
      <c r="AF31" s="1599"/>
      <c r="AG31" s="1787"/>
      <c r="AH31" s="1787"/>
      <c r="AI31" s="1506"/>
      <c r="AJ31" s="1505"/>
      <c r="AK31" s="1787"/>
      <c r="AL31" s="1787"/>
      <c r="AM31" s="1506"/>
    </row>
    <row r="32" spans="1:39" ht="35.25" customHeight="1">
      <c r="A32" s="1434">
        <v>4</v>
      </c>
      <c r="B32" s="3417" t="s">
        <v>28</v>
      </c>
      <c r="C32" s="3418"/>
      <c r="D32" s="3418"/>
      <c r="E32" s="3419"/>
      <c r="F32" s="11" t="s">
        <v>26</v>
      </c>
      <c r="G32" s="1008" t="str">
        <f>'XM.GUI MAIL'!$E$108</f>
        <v>50~70</v>
      </c>
      <c r="H32" s="2206" t="str">
        <f>'XM.GUI MAIL'!$F$108</f>
        <v>(60±5)</v>
      </c>
      <c r="I32" s="3195">
        <f>'XM.GUI MAIL'!AD108</f>
        <v>0</v>
      </c>
      <c r="J32" s="3121"/>
      <c r="K32" s="3121">
        <f>'XM.GUI MAIL'!AG108</f>
        <v>0</v>
      </c>
      <c r="L32" s="3121"/>
      <c r="M32" s="3121">
        <f>'XM.GUI MAIL'!AK108</f>
        <v>0</v>
      </c>
      <c r="N32" s="3121"/>
      <c r="O32" s="3121">
        <f>'XM.GUI MAIL'!AN108</f>
        <v>0</v>
      </c>
      <c r="P32" s="3121"/>
      <c r="Q32" s="3121">
        <f>'XM.GUI MAIL'!AR108</f>
        <v>0</v>
      </c>
      <c r="R32" s="3121"/>
      <c r="S32" s="3121">
        <f>'XM.GUI MAIL'!AU108</f>
        <v>0</v>
      </c>
      <c r="T32" s="3121"/>
      <c r="U32" s="1434"/>
      <c r="W32" s="1440">
        <v>4</v>
      </c>
      <c r="X32" s="3417" t="s">
        <v>28</v>
      </c>
      <c r="Y32" s="3418"/>
      <c r="Z32" s="3418"/>
      <c r="AA32" s="3419"/>
      <c r="AB32" s="1505"/>
      <c r="AC32" s="1787"/>
      <c r="AD32" s="1787"/>
      <c r="AE32" s="1506"/>
      <c r="AF32" s="1599"/>
      <c r="AG32" s="1787"/>
      <c r="AH32" s="1787"/>
      <c r="AI32" s="1506"/>
      <c r="AJ32" s="1505"/>
      <c r="AK32" s="1787"/>
      <c r="AL32" s="1787"/>
      <c r="AM32" s="1506"/>
    </row>
    <row r="33" spans="1:39" ht="35.25" customHeight="1">
      <c r="A33" s="1434">
        <v>5</v>
      </c>
      <c r="B33" s="3417" t="s">
        <v>29</v>
      </c>
      <c r="C33" s="3418"/>
      <c r="D33" s="3418"/>
      <c r="E33" s="3419"/>
      <c r="F33" s="11" t="s">
        <v>26</v>
      </c>
      <c r="G33" s="1008" t="str">
        <f>'XM.GUI MAIL'!$E$109</f>
        <v>22~28</v>
      </c>
      <c r="H33" s="2206" t="str">
        <f>'XM.GUI MAIL'!$F$109</f>
        <v>(25±3)</v>
      </c>
      <c r="I33" s="3282">
        <f>'XM.GUI MAIL'!AD109</f>
        <v>0</v>
      </c>
      <c r="J33" s="3283"/>
      <c r="K33" s="3283">
        <f>'XM.GUI MAIL'!AG109</f>
        <v>0</v>
      </c>
      <c r="L33" s="3283"/>
      <c r="M33" s="3283">
        <f>'XM.GUI MAIL'!AK109</f>
        <v>0</v>
      </c>
      <c r="N33" s="3283"/>
      <c r="O33" s="3283">
        <f>'XM.GUI MAIL'!AN109</f>
        <v>0</v>
      </c>
      <c r="P33" s="3283"/>
      <c r="Q33" s="3283">
        <f>'XM.GUI MAIL'!AR109</f>
        <v>0</v>
      </c>
      <c r="R33" s="3283"/>
      <c r="S33" s="3283">
        <f>'XM.GUI MAIL'!AU109</f>
        <v>0</v>
      </c>
      <c r="T33" s="3283"/>
      <c r="U33" s="1434"/>
      <c r="W33" s="1440">
        <v>5</v>
      </c>
      <c r="X33" s="3417" t="s">
        <v>29</v>
      </c>
      <c r="Y33" s="3418"/>
      <c r="Z33" s="3418"/>
      <c r="AA33" s="3419"/>
      <c r="AB33" s="1505"/>
      <c r="AC33" s="1787"/>
      <c r="AD33" s="1787"/>
      <c r="AE33" s="1506"/>
      <c r="AF33" s="1599"/>
      <c r="AG33" s="1787"/>
      <c r="AH33" s="1787"/>
      <c r="AI33" s="1506"/>
      <c r="AJ33" s="1505"/>
      <c r="AK33" s="1787"/>
      <c r="AL33" s="1787"/>
      <c r="AM33" s="1506"/>
    </row>
    <row r="34" spans="1:39" ht="35.25" customHeight="1">
      <c r="A34" s="1434">
        <v>6</v>
      </c>
      <c r="B34" s="3417" t="s">
        <v>1264</v>
      </c>
      <c r="C34" s="3418"/>
      <c r="D34" s="3418"/>
      <c r="E34" s="3419"/>
      <c r="F34" s="11" t="s">
        <v>26</v>
      </c>
      <c r="G34" s="1008" t="str">
        <f>'XM.GUI MAIL'!$E$110</f>
        <v>30~40</v>
      </c>
      <c r="H34" s="2206" t="str">
        <f>'XM.GUI MAIL'!$F$110</f>
        <v>(34±3)</v>
      </c>
      <c r="I34" s="3195">
        <f>'XM.GUI MAIL'!AD110</f>
        <v>0</v>
      </c>
      <c r="J34" s="3121"/>
      <c r="K34" s="3121">
        <f>'XM.GUI MAIL'!AG110</f>
        <v>0</v>
      </c>
      <c r="L34" s="3121"/>
      <c r="M34" s="3121">
        <f>'XM.GUI MAIL'!AK110</f>
        <v>0</v>
      </c>
      <c r="N34" s="3121"/>
      <c r="O34" s="3121">
        <f>'XM.GUI MAIL'!AN110</f>
        <v>0</v>
      </c>
      <c r="P34" s="3121"/>
      <c r="Q34" s="3121">
        <f>'XM.GUI MAIL'!AR110</f>
        <v>0</v>
      </c>
      <c r="R34" s="3121"/>
      <c r="S34" s="3121">
        <f>'XM.GUI MAIL'!AU110</f>
        <v>0</v>
      </c>
      <c r="T34" s="3121"/>
      <c r="U34" s="1434"/>
      <c r="W34" s="1440">
        <v>6</v>
      </c>
      <c r="X34" s="3417" t="s">
        <v>1264</v>
      </c>
      <c r="Y34" s="3418"/>
      <c r="Z34" s="3418"/>
      <c r="AA34" s="3419"/>
      <c r="AB34" s="1505"/>
      <c r="AC34" s="1787"/>
      <c r="AD34" s="1787"/>
      <c r="AE34" s="1506"/>
      <c r="AF34" s="1599"/>
      <c r="AG34" s="1787"/>
      <c r="AH34" s="1787"/>
      <c r="AI34" s="1506"/>
      <c r="AJ34" s="1505"/>
      <c r="AK34" s="1787"/>
      <c r="AL34" s="1787"/>
      <c r="AM34" s="1506"/>
    </row>
    <row r="35" spans="1:39" ht="35.25" customHeight="1">
      <c r="A35" s="1434">
        <v>7</v>
      </c>
      <c r="B35" s="3417" t="s">
        <v>31</v>
      </c>
      <c r="C35" s="3418"/>
      <c r="D35" s="3418"/>
      <c r="E35" s="3419"/>
      <c r="F35" s="11" t="s">
        <v>26</v>
      </c>
      <c r="G35" s="1008" t="str">
        <f>'XM.GUI MAIL'!$E$111</f>
        <v>55~65</v>
      </c>
      <c r="H35" s="2206" t="str">
        <f>'XM.GUI MAIL'!$F$111</f>
        <v>(60±5)</v>
      </c>
      <c r="I35" s="3195">
        <f>'XM.GUI MAIL'!AD111</f>
        <v>0</v>
      </c>
      <c r="J35" s="3121"/>
      <c r="K35" s="3121">
        <f>'XM.GUI MAIL'!AG111</f>
        <v>0</v>
      </c>
      <c r="L35" s="3121"/>
      <c r="M35" s="3121">
        <f>'XM.GUI MAIL'!AK111</f>
        <v>0</v>
      </c>
      <c r="N35" s="3121"/>
      <c r="O35" s="3121">
        <f>'XM.GUI MAIL'!AN111</f>
        <v>0</v>
      </c>
      <c r="P35" s="3121"/>
      <c r="Q35" s="3121">
        <f>'XM.GUI MAIL'!AR111</f>
        <v>0</v>
      </c>
      <c r="R35" s="3121"/>
      <c r="S35" s="3121">
        <f>'XM.GUI MAIL'!AU111</f>
        <v>0</v>
      </c>
      <c r="T35" s="3121"/>
      <c r="U35" s="1434"/>
      <c r="W35" s="1440">
        <v>7</v>
      </c>
      <c r="X35" s="3417" t="s">
        <v>31</v>
      </c>
      <c r="Y35" s="3418"/>
      <c r="Z35" s="3418"/>
      <c r="AA35" s="3419"/>
      <c r="AB35" s="1505"/>
      <c r="AC35" s="1787"/>
      <c r="AD35" s="1787"/>
      <c r="AE35" s="1506"/>
      <c r="AF35" s="1599"/>
      <c r="AG35" s="1787"/>
      <c r="AH35" s="1787"/>
      <c r="AI35" s="1506"/>
      <c r="AJ35" s="1505"/>
      <c r="AK35" s="1787"/>
      <c r="AL35" s="1787"/>
      <c r="AM35" s="1506"/>
    </row>
    <row r="36" spans="1:39" ht="35.25" customHeight="1">
      <c r="A36" s="1434">
        <v>8</v>
      </c>
      <c r="B36" s="3417" t="s">
        <v>32</v>
      </c>
      <c r="C36" s="3418"/>
      <c r="D36" s="3418"/>
      <c r="E36" s="3419"/>
      <c r="F36" s="11" t="s">
        <v>26</v>
      </c>
      <c r="G36" s="1008" t="str">
        <f>'XM.GUI MAIL'!$E$112</f>
        <v>80~100</v>
      </c>
      <c r="H36" s="2206" t="str">
        <f>'XM.GUI MAIL'!$F$112</f>
        <v>(90±5)</v>
      </c>
      <c r="I36" s="3228" t="s">
        <v>46</v>
      </c>
      <c r="J36" s="3284"/>
      <c r="K36" s="3121">
        <f>'XM.GUI MAIL'!AG112</f>
        <v>0</v>
      </c>
      <c r="L36" s="3121"/>
      <c r="M36" s="3284" t="s">
        <v>46</v>
      </c>
      <c r="N36" s="3284"/>
      <c r="O36" s="3121">
        <f>'XM.GUI MAIL'!AN112</f>
        <v>0</v>
      </c>
      <c r="P36" s="3121"/>
      <c r="Q36" s="3284" t="s">
        <v>46</v>
      </c>
      <c r="R36" s="3284"/>
      <c r="S36" s="3121">
        <f>'XM.GUI MAIL'!AU112</f>
        <v>0</v>
      </c>
      <c r="T36" s="3121"/>
      <c r="U36" s="1434"/>
      <c r="W36" s="1440">
        <v>8</v>
      </c>
      <c r="X36" s="3417" t="s">
        <v>32</v>
      </c>
      <c r="Y36" s="3418"/>
      <c r="Z36" s="3418"/>
      <c r="AA36" s="3419"/>
      <c r="AB36" s="1505"/>
      <c r="AC36" s="1787"/>
      <c r="AD36" s="1787"/>
      <c r="AE36" s="1506"/>
      <c r="AF36" s="1599"/>
      <c r="AG36" s="1787"/>
      <c r="AH36" s="1787"/>
      <c r="AI36" s="1506"/>
      <c r="AJ36" s="1505"/>
      <c r="AK36" s="1787"/>
      <c r="AL36" s="1787"/>
      <c r="AM36" s="1506"/>
    </row>
    <row r="37" spans="1:39" ht="35.25" customHeight="1">
      <c r="A37" s="2149"/>
      <c r="B37" s="3417" t="s">
        <v>1274</v>
      </c>
      <c r="C37" s="3418"/>
      <c r="D37" s="3418"/>
      <c r="E37" s="3419"/>
      <c r="F37" s="11" t="s">
        <v>26</v>
      </c>
      <c r="G37" s="1008" t="str">
        <f>'XM.GUI MAIL'!$E$113</f>
        <v>40~60</v>
      </c>
      <c r="H37" s="2206" t="str">
        <f>'XM.GUI MAIL'!$F$113</f>
        <v>(50±10)</v>
      </c>
      <c r="I37" s="3276">
        <f>'XM.GUI MAIL'!AD113</f>
        <v>0</v>
      </c>
      <c r="J37" s="3277"/>
      <c r="K37" s="3277">
        <f>'XM.GUI MAIL'!AG113</f>
        <v>0</v>
      </c>
      <c r="L37" s="3277"/>
      <c r="M37" s="3277">
        <f>'XM.GUI MAIL'!AK113</f>
        <v>0</v>
      </c>
      <c r="N37" s="3277"/>
      <c r="O37" s="3277">
        <f>'XM.GUI MAIL'!AN113</f>
        <v>0</v>
      </c>
      <c r="P37" s="3277"/>
      <c r="Q37" s="3277">
        <f>'XM.GUI MAIL'!AR113</f>
        <v>0</v>
      </c>
      <c r="R37" s="3277"/>
      <c r="S37" s="3277">
        <f>'XM.GUI MAIL'!AU113</f>
        <v>0</v>
      </c>
      <c r="T37" s="3277"/>
      <c r="U37" s="895"/>
      <c r="W37" s="2149"/>
      <c r="X37" s="3417" t="s">
        <v>1274</v>
      </c>
      <c r="Y37" s="3418"/>
      <c r="Z37" s="3418"/>
      <c r="AA37" s="3419"/>
      <c r="AB37" s="2150"/>
      <c r="AC37" s="2151"/>
      <c r="AD37" s="2151"/>
      <c r="AE37" s="1506"/>
      <c r="AF37" s="2150"/>
      <c r="AG37" s="2151"/>
      <c r="AH37" s="2151"/>
      <c r="AI37" s="1506"/>
      <c r="AJ37" s="2150"/>
      <c r="AK37" s="2151"/>
      <c r="AL37" s="2151"/>
      <c r="AM37" s="1506"/>
    </row>
    <row r="38" spans="1:39" ht="35.25" customHeight="1">
      <c r="A38" s="2149"/>
      <c r="B38" s="3325" t="s">
        <v>1277</v>
      </c>
      <c r="C38" s="3326"/>
      <c r="D38" s="3326"/>
      <c r="E38" s="3327"/>
      <c r="F38" s="11" t="s">
        <v>26</v>
      </c>
      <c r="G38" s="1008" t="str">
        <f>'XM.GUI MAIL'!$E$114</f>
        <v>50~70</v>
      </c>
      <c r="H38" s="2206" t="str">
        <f>'XM.GUI MAIL'!$F$114</f>
        <v>(60±10)</v>
      </c>
      <c r="I38" s="3276">
        <f>'XM.GUI MAIL'!AD114</f>
        <v>0</v>
      </c>
      <c r="J38" s="3277"/>
      <c r="K38" s="3277">
        <f>'XM.GUI MAIL'!AG114</f>
        <v>0</v>
      </c>
      <c r="L38" s="3277"/>
      <c r="M38" s="3277">
        <f>'XM.GUI MAIL'!AK114</f>
        <v>0</v>
      </c>
      <c r="N38" s="3277"/>
      <c r="O38" s="3277">
        <f>'XM.GUI MAIL'!AN114</f>
        <v>0</v>
      </c>
      <c r="P38" s="3277"/>
      <c r="Q38" s="3277">
        <f>'XM.GUI MAIL'!AR114</f>
        <v>0</v>
      </c>
      <c r="R38" s="3277"/>
      <c r="S38" s="3277">
        <f>'XM.GUI MAIL'!AU114</f>
        <v>0</v>
      </c>
      <c r="T38" s="3277"/>
      <c r="U38" s="895"/>
      <c r="W38" s="2149"/>
      <c r="X38" s="2146"/>
      <c r="Y38" s="2147"/>
      <c r="Z38" s="2147"/>
      <c r="AA38" s="2148"/>
      <c r="AB38" s="2150"/>
      <c r="AC38" s="2151"/>
      <c r="AD38" s="2151"/>
      <c r="AE38" s="1506"/>
      <c r="AF38" s="2431"/>
      <c r="AG38" s="2426"/>
      <c r="AH38" s="2426"/>
      <c r="AI38" s="2434"/>
      <c r="AJ38" s="2431"/>
      <c r="AK38" s="2426"/>
      <c r="AL38" s="2426"/>
      <c r="AM38" s="2434"/>
    </row>
    <row r="39" spans="1:39" ht="35.25" hidden="1" customHeight="1">
      <c r="A39" s="1434">
        <v>9</v>
      </c>
      <c r="B39" s="3417" t="s">
        <v>979</v>
      </c>
      <c r="C39" s="3418"/>
      <c r="D39" s="3418"/>
      <c r="E39" s="3419"/>
      <c r="F39" s="11" t="s">
        <v>26</v>
      </c>
      <c r="G39" s="1008" t="str">
        <f>'XM.GUI MAIL'!$E$115</f>
        <v>20~30</v>
      </c>
      <c r="H39" s="2206" t="str">
        <f>'XM.GUI MAIL'!$F$115</f>
        <v>20~30</v>
      </c>
      <c r="I39" s="3288">
        <f>'XM.GUI MAIL'!AD115</f>
        <v>0</v>
      </c>
      <c r="J39" s="3088"/>
      <c r="K39" s="3090">
        <f>'XM.GUI MAIL'!AG115</f>
        <v>0</v>
      </c>
      <c r="L39" s="3088"/>
      <c r="M39" s="3090">
        <f>'XM.GUI MAIL'!AK114</f>
        <v>0</v>
      </c>
      <c r="N39" s="3088"/>
      <c r="O39" s="3090">
        <f>'XM.GUI MAIL'!AN114</f>
        <v>0</v>
      </c>
      <c r="P39" s="3088"/>
      <c r="Q39" s="3090">
        <f>'XM.GUI MAIL'!AR115</f>
        <v>0</v>
      </c>
      <c r="R39" s="3088"/>
      <c r="S39" s="3090">
        <f>'XM.GUI MAIL'!AU115</f>
        <v>0</v>
      </c>
      <c r="T39" s="3088"/>
      <c r="U39" s="895"/>
      <c r="W39" s="1440">
        <v>9</v>
      </c>
      <c r="X39" s="3417" t="s">
        <v>979</v>
      </c>
      <c r="Y39" s="3418"/>
      <c r="Z39" s="3418"/>
      <c r="AA39" s="3419"/>
      <c r="AB39" s="1505"/>
      <c r="AC39" s="1787"/>
      <c r="AD39" s="1787"/>
      <c r="AE39" s="1506"/>
      <c r="AF39" s="2145"/>
      <c r="AG39" s="2144"/>
      <c r="AH39" s="1803"/>
      <c r="AI39" s="1507"/>
      <c r="AJ39" s="1501"/>
      <c r="AK39" s="1784"/>
      <c r="AL39" s="1784"/>
      <c r="AM39" s="1507"/>
    </row>
    <row r="40" spans="1:39" ht="32.25" hidden="1" customHeight="1">
      <c r="A40" s="1434"/>
      <c r="B40" s="3420" t="s">
        <v>1267</v>
      </c>
      <c r="C40" s="3421"/>
      <c r="D40" s="3421"/>
      <c r="E40" s="3422"/>
      <c r="F40" s="11" t="s">
        <v>26</v>
      </c>
      <c r="G40" s="1008" t="str">
        <f>'XM.GUI MAIL'!$E$116</f>
        <v>35~45</v>
      </c>
      <c r="H40" s="1395"/>
      <c r="I40" s="3098">
        <f>'XM.GUI MAIL'!AD116</f>
        <v>0</v>
      </c>
      <c r="J40" s="3099"/>
      <c r="K40" s="3098">
        <f>'XM.GUI MAIL'!AG116</f>
        <v>0</v>
      </c>
      <c r="L40" s="3099"/>
      <c r="M40" s="3098">
        <f>'XM.GUI MAIL'!AK116</f>
        <v>0</v>
      </c>
      <c r="N40" s="3099"/>
      <c r="O40" s="3098">
        <f>'XM.GUI MAIL'!AM116</f>
        <v>0</v>
      </c>
      <c r="P40" s="3099"/>
      <c r="Q40" s="3098">
        <f>'XM.GUI MAIL'!AR116</f>
        <v>0</v>
      </c>
      <c r="R40" s="3099"/>
      <c r="S40" s="3098">
        <f>'XM.GUI MAIL'!AU116</f>
        <v>0</v>
      </c>
      <c r="T40" s="3099"/>
      <c r="U40" s="895"/>
      <c r="W40" s="1440"/>
      <c r="X40" s="3420" t="s">
        <v>1267</v>
      </c>
      <c r="Y40" s="3421"/>
      <c r="Z40" s="3421"/>
      <c r="AA40" s="3422"/>
      <c r="AB40" s="1447"/>
      <c r="AC40" s="1447"/>
      <c r="AD40" s="1447"/>
      <c r="AE40" s="1447"/>
      <c r="AF40" s="2154"/>
      <c r="AG40" s="698"/>
      <c r="AH40" s="698"/>
    </row>
    <row r="41" spans="1:39" ht="30.75" customHeight="1">
      <c r="A41" s="1434"/>
      <c r="B41" s="250"/>
      <c r="C41" s="251"/>
      <c r="D41" s="251"/>
      <c r="E41" s="251"/>
      <c r="F41" s="251"/>
      <c r="G41" s="2155" t="s">
        <v>223</v>
      </c>
      <c r="H41" s="987"/>
      <c r="I41" s="253"/>
      <c r="J41" s="251"/>
      <c r="K41" s="251"/>
      <c r="L41" s="251"/>
      <c r="M41" s="251"/>
      <c r="N41" s="251"/>
      <c r="O41" s="251"/>
      <c r="P41" s="251"/>
      <c r="Q41" s="251"/>
      <c r="R41" s="251"/>
      <c r="S41" s="251"/>
      <c r="T41" s="251"/>
      <c r="U41" s="252"/>
      <c r="W41" s="1440"/>
      <c r="X41" s="250"/>
      <c r="Y41" s="251"/>
      <c r="Z41" s="251"/>
      <c r="AA41" s="251"/>
      <c r="AB41" s="251"/>
      <c r="AC41" s="251"/>
      <c r="AD41" s="251"/>
      <c r="AE41" s="251"/>
      <c r="AF41" s="251"/>
      <c r="AG41" s="165"/>
      <c r="AH41" s="165"/>
    </row>
    <row r="42" spans="1:39" ht="36.75" customHeight="1">
      <c r="A42" s="1434" t="s">
        <v>7</v>
      </c>
      <c r="B42" s="3417" t="s">
        <v>33</v>
      </c>
      <c r="C42" s="3418"/>
      <c r="D42" s="3418"/>
      <c r="E42" s="3419"/>
      <c r="F42" s="74" t="s">
        <v>18</v>
      </c>
      <c r="G42" s="975" t="s">
        <v>1296</v>
      </c>
      <c r="H42" s="2204" t="s">
        <v>1289</v>
      </c>
      <c r="I42" s="3293" t="s">
        <v>141</v>
      </c>
      <c r="J42" s="3293"/>
      <c r="K42" s="3293"/>
      <c r="L42" s="3294"/>
      <c r="M42" s="3292" t="s">
        <v>141</v>
      </c>
      <c r="N42" s="3293"/>
      <c r="O42" s="3293"/>
      <c r="P42" s="3294"/>
      <c r="Q42" s="3292" t="s">
        <v>141</v>
      </c>
      <c r="R42" s="3293"/>
      <c r="S42" s="3293"/>
      <c r="T42" s="3294"/>
      <c r="U42" s="10"/>
      <c r="W42" s="1440" t="s">
        <v>7</v>
      </c>
      <c r="X42" s="3417" t="s">
        <v>33</v>
      </c>
      <c r="Y42" s="3418"/>
      <c r="Z42" s="3418"/>
      <c r="AA42" s="3419"/>
      <c r="AB42" s="3366" t="s">
        <v>1345</v>
      </c>
      <c r="AC42" s="3199"/>
      <c r="AD42" s="3199"/>
      <c r="AE42" s="3200"/>
      <c r="AF42" s="3366" t="s">
        <v>1345</v>
      </c>
      <c r="AG42" s="3199"/>
      <c r="AH42" s="3199"/>
      <c r="AI42" s="3200"/>
      <c r="AJ42" s="3366" t="s">
        <v>1345</v>
      </c>
      <c r="AK42" s="3199"/>
      <c r="AL42" s="3199"/>
      <c r="AM42" s="3200"/>
    </row>
    <row r="43" spans="1:39" ht="36.75" customHeight="1">
      <c r="A43" s="1434">
        <v>1</v>
      </c>
      <c r="B43" s="3264" t="s">
        <v>1099</v>
      </c>
      <c r="C43" s="3265"/>
      <c r="D43" s="3265"/>
      <c r="E43" s="3266"/>
      <c r="F43" s="2865" t="s">
        <v>1641</v>
      </c>
      <c r="G43" s="1438" t="str">
        <f>'XM.GUI MAIL'!$E$120</f>
        <v>30~50 
(40)</v>
      </c>
      <c r="H43" s="2221" t="str">
        <f>'XM.GUI MAIL'!$F$120</f>
        <v>30~50 
(40)</v>
      </c>
      <c r="I43" s="3357">
        <f>'XM.GUI MAIL'!AD120</f>
        <v>0</v>
      </c>
      <c r="J43" s="3357"/>
      <c r="K43" s="3357"/>
      <c r="L43" s="3357"/>
      <c r="M43" s="3295">
        <f>'XM.GUI MAIL'!AK120</f>
        <v>0</v>
      </c>
      <c r="N43" s="3357"/>
      <c r="O43" s="3357"/>
      <c r="P43" s="3357"/>
      <c r="Q43" s="3295">
        <f>'XM.GUI MAIL'!AR120</f>
        <v>0</v>
      </c>
      <c r="R43" s="3357"/>
      <c r="S43" s="3357"/>
      <c r="T43" s="3357"/>
      <c r="U43" s="1434"/>
      <c r="W43" s="1440">
        <v>1</v>
      </c>
      <c r="X43" s="3264" t="s">
        <v>1099</v>
      </c>
      <c r="Y43" s="3265"/>
      <c r="Z43" s="3265"/>
      <c r="AA43" s="3266"/>
      <c r="AB43" s="1505"/>
      <c r="AC43" s="1787"/>
      <c r="AD43" s="1787"/>
      <c r="AE43" s="1506"/>
      <c r="AF43" s="1599"/>
      <c r="AG43" s="1787"/>
      <c r="AH43" s="1787"/>
      <c r="AI43" s="1506"/>
      <c r="AJ43" s="1505"/>
      <c r="AK43" s="1787"/>
      <c r="AL43" s="1787"/>
      <c r="AM43" s="1506"/>
    </row>
    <row r="44" spans="1:39" ht="36.75" customHeight="1">
      <c r="A44" s="1434">
        <v>2</v>
      </c>
      <c r="B44" s="3264" t="s">
        <v>225</v>
      </c>
      <c r="C44" s="3265"/>
      <c r="D44" s="3265"/>
      <c r="E44" s="3266"/>
      <c r="F44" s="2865" t="s">
        <v>1641</v>
      </c>
      <c r="G44" s="1438" t="str">
        <f>'XM.GUI MAIL'!$E$121</f>
        <v>160~220
(180)</v>
      </c>
      <c r="H44" s="2221" t="str">
        <f>'XM.GUI MAIL'!$F$121</f>
        <v>160~220
(180)</v>
      </c>
      <c r="I44" s="3357">
        <f>'XM.GUI MAIL'!AD121</f>
        <v>0</v>
      </c>
      <c r="J44" s="3357"/>
      <c r="K44" s="3357"/>
      <c r="L44" s="3357"/>
      <c r="M44" s="3295">
        <f>'XM.GUI MAIL'!AK121</f>
        <v>0</v>
      </c>
      <c r="N44" s="3357"/>
      <c r="O44" s="3357"/>
      <c r="P44" s="3357"/>
      <c r="Q44" s="3295">
        <f>'XM.GUI MAIL'!AR121</f>
        <v>0</v>
      </c>
      <c r="R44" s="3357"/>
      <c r="S44" s="3357"/>
      <c r="T44" s="3357"/>
      <c r="U44" s="1434"/>
      <c r="W44" s="1440">
        <v>2</v>
      </c>
      <c r="X44" s="3264" t="s">
        <v>225</v>
      </c>
      <c r="Y44" s="3265"/>
      <c r="Z44" s="3265"/>
      <c r="AA44" s="3266"/>
      <c r="AB44" s="1501"/>
      <c r="AC44" s="1784"/>
      <c r="AD44" s="1784"/>
      <c r="AE44" s="1507"/>
      <c r="AF44" s="1593"/>
      <c r="AG44" s="1784"/>
      <c r="AH44" s="1784"/>
      <c r="AI44" s="1507"/>
      <c r="AJ44" s="1501"/>
      <c r="AK44" s="1784"/>
      <c r="AL44" s="1784"/>
      <c r="AM44" s="1507"/>
    </row>
    <row r="45" spans="1:39">
      <c r="AF45" s="30"/>
      <c r="AG45" s="30"/>
      <c r="AH45" s="30"/>
      <c r="AI45" s="30"/>
    </row>
    <row r="46" spans="1:39">
      <c r="AF46" s="30"/>
      <c r="AG46" s="30"/>
      <c r="AH46" s="30"/>
      <c r="AI46" s="30"/>
    </row>
  </sheetData>
  <sheetProtection selectLockedCells="1"/>
  <mergeCells count="217">
    <mergeCell ref="AC3:AD3"/>
    <mergeCell ref="H3:I3"/>
    <mergeCell ref="AF4:AI4"/>
    <mergeCell ref="AF28:AI28"/>
    <mergeCell ref="AF42:AI42"/>
    <mergeCell ref="X43:AA43"/>
    <mergeCell ref="X44:AA44"/>
    <mergeCell ref="X40:AA40"/>
    <mergeCell ref="X42:AA42"/>
    <mergeCell ref="X36:AA36"/>
    <mergeCell ref="X39:AA39"/>
    <mergeCell ref="X34:AA34"/>
    <mergeCell ref="X35:AA35"/>
    <mergeCell ref="X32:AA32"/>
    <mergeCell ref="X33:AA33"/>
    <mergeCell ref="X30:AA30"/>
    <mergeCell ref="X31:AA31"/>
    <mergeCell ref="X25:AA26"/>
    <mergeCell ref="X28:AA28"/>
    <mergeCell ref="X29:AA29"/>
    <mergeCell ref="AB4:AE4"/>
    <mergeCell ref="AB5:AC5"/>
    <mergeCell ref="AD5:AE5"/>
    <mergeCell ref="AF5:AG5"/>
    <mergeCell ref="AH5:AI5"/>
    <mergeCell ref="W16:W17"/>
    <mergeCell ref="X16:Z17"/>
    <mergeCell ref="AA16:AA17"/>
    <mergeCell ref="X18:AA18"/>
    <mergeCell ref="X20:AA20"/>
    <mergeCell ref="X21:AA21"/>
    <mergeCell ref="X22:AA22"/>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2:E22"/>
    <mergeCell ref="A23:A24"/>
    <mergeCell ref="B23:E24"/>
    <mergeCell ref="B25:E26"/>
    <mergeCell ref="B28:E28"/>
    <mergeCell ref="I28:J28"/>
    <mergeCell ref="A16:A17"/>
    <mergeCell ref="B16:D17"/>
    <mergeCell ref="E16:E17"/>
    <mergeCell ref="B18:E18"/>
    <mergeCell ref="B20:E20"/>
    <mergeCell ref="B21:E21"/>
    <mergeCell ref="B19:E19"/>
    <mergeCell ref="O31:P31"/>
    <mergeCell ref="Q31:R31"/>
    <mergeCell ref="K28:L28"/>
    <mergeCell ref="M28:N28"/>
    <mergeCell ref="O28:P28"/>
    <mergeCell ref="Q28:R28"/>
    <mergeCell ref="S28:T28"/>
    <mergeCell ref="B29:E29"/>
    <mergeCell ref="I29:J29"/>
    <mergeCell ref="K29:L29"/>
    <mergeCell ref="M29:N29"/>
    <mergeCell ref="O29:P29"/>
    <mergeCell ref="Q29:R29"/>
    <mergeCell ref="S29:T29"/>
    <mergeCell ref="S40:T40"/>
    <mergeCell ref="B39:E39"/>
    <mergeCell ref="I39:J39"/>
    <mergeCell ref="K39:L39"/>
    <mergeCell ref="M39:N39"/>
    <mergeCell ref="O39:P39"/>
    <mergeCell ref="Q39:R39"/>
    <mergeCell ref="S35:T35"/>
    <mergeCell ref="B36:E36"/>
    <mergeCell ref="I36:J36"/>
    <mergeCell ref="K36:L36"/>
    <mergeCell ref="M36:N36"/>
    <mergeCell ref="O36:P36"/>
    <mergeCell ref="Q36:R36"/>
    <mergeCell ref="S36:T36"/>
    <mergeCell ref="B35:E35"/>
    <mergeCell ref="I35:J35"/>
    <mergeCell ref="K35:L35"/>
    <mergeCell ref="M35:N35"/>
    <mergeCell ref="O35:P35"/>
    <mergeCell ref="Q35:R35"/>
    <mergeCell ref="B38:E38"/>
    <mergeCell ref="I38:J38"/>
    <mergeCell ref="K38:L38"/>
    <mergeCell ref="AJ4:AM4"/>
    <mergeCell ref="AB28:AE28"/>
    <mergeCell ref="AJ28:AM28"/>
    <mergeCell ref="AB42:AE42"/>
    <mergeCell ref="AJ42:AM42"/>
    <mergeCell ref="B44:E44"/>
    <mergeCell ref="I44:L44"/>
    <mergeCell ref="M44:P44"/>
    <mergeCell ref="Q44:T44"/>
    <mergeCell ref="B42:E42"/>
    <mergeCell ref="I42:L42"/>
    <mergeCell ref="M42:P42"/>
    <mergeCell ref="Q42:T42"/>
    <mergeCell ref="B43:E43"/>
    <mergeCell ref="I43:L43"/>
    <mergeCell ref="M43:P43"/>
    <mergeCell ref="Q43:T43"/>
    <mergeCell ref="S39:T39"/>
    <mergeCell ref="B40:E40"/>
    <mergeCell ref="I40:J40"/>
    <mergeCell ref="K40:L40"/>
    <mergeCell ref="M40:N40"/>
    <mergeCell ref="O40:P40"/>
    <mergeCell ref="Q40:R40"/>
    <mergeCell ref="M38:N38"/>
    <mergeCell ref="O38:P38"/>
    <mergeCell ref="Q38:R38"/>
    <mergeCell ref="S38:T38"/>
    <mergeCell ref="AJ5:AK5"/>
    <mergeCell ref="AL5:AM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B30:E30"/>
    <mergeCell ref="X19:AA19"/>
    <mergeCell ref="I37:J37"/>
    <mergeCell ref="K37:L37"/>
    <mergeCell ref="M37:N37"/>
    <mergeCell ref="O37:P37"/>
    <mergeCell ref="Q37:R37"/>
    <mergeCell ref="S37:T37"/>
    <mergeCell ref="B37:E37"/>
    <mergeCell ref="X37:AA37"/>
    <mergeCell ref="I30:J30"/>
    <mergeCell ref="K30:L30"/>
    <mergeCell ref="M30:N30"/>
    <mergeCell ref="O30:P30"/>
    <mergeCell ref="Q30:R30"/>
    <mergeCell ref="S30:T30"/>
    <mergeCell ref="S31:T31"/>
    <mergeCell ref="B32:E32"/>
    <mergeCell ref="I32:J32"/>
    <mergeCell ref="K32:L32"/>
    <mergeCell ref="M32:N32"/>
    <mergeCell ref="O32:P32"/>
    <mergeCell ref="Q32:R32"/>
    <mergeCell ref="S32:T32"/>
    <mergeCell ref="B31:E31"/>
    <mergeCell ref="I31:J31"/>
    <mergeCell ref="K31:L31"/>
    <mergeCell ref="M31:N31"/>
  </mergeCells>
  <conditionalFormatting sqref="I26 Q26 M26">
    <cfRule type="expression" dxfId="1709" priority="1177">
      <formula>I26&lt;1.8</formula>
    </cfRule>
    <cfRule type="expression" dxfId="1708" priority="1178">
      <formula>I26&gt;2.4</formula>
    </cfRule>
  </conditionalFormatting>
  <conditionalFormatting sqref="I25 Q25 M25">
    <cfRule type="expression" dxfId="1707" priority="1175">
      <formula>I25&lt;8</formula>
    </cfRule>
    <cfRule type="expression" dxfId="1706" priority="1176">
      <formula>I25&gt;16</formula>
    </cfRule>
  </conditionalFormatting>
  <conditionalFormatting sqref="I43 M43 Q43">
    <cfRule type="expression" dxfId="1705" priority="1173">
      <formula>I43&lt;30</formula>
    </cfRule>
    <cfRule type="expression" dxfId="1704" priority="1174">
      <formula>I43&gt;50</formula>
    </cfRule>
  </conditionalFormatting>
  <conditionalFormatting sqref="I44 M44">
    <cfRule type="expression" dxfId="1703" priority="1171">
      <formula>I44&lt;160</formula>
    </cfRule>
    <cfRule type="expression" dxfId="1702" priority="1172">
      <formula>I44&gt;220</formula>
    </cfRule>
  </conditionalFormatting>
  <conditionalFormatting sqref="I40 K40 M40 O40 Q40 S40">
    <cfRule type="expression" dxfId="1701" priority="1169">
      <formula>I40&lt;35</formula>
    </cfRule>
    <cfRule type="expression" dxfId="1700" priority="1170">
      <formula>I40&gt;45</formula>
    </cfRule>
  </conditionalFormatting>
  <conditionalFormatting sqref="Q44">
    <cfRule type="expression" dxfId="1699" priority="443">
      <formula>Q44&lt;160</formula>
    </cfRule>
    <cfRule type="expression" dxfId="1698" priority="444">
      <formula>Q44&gt;220</formula>
    </cfRule>
  </conditionalFormatting>
  <conditionalFormatting sqref="I14">
    <cfRule type="expression" dxfId="1697" priority="348" stopIfTrue="1">
      <formula>I14&lt;135</formula>
    </cfRule>
  </conditionalFormatting>
  <conditionalFormatting sqref="I14">
    <cfRule type="expression" dxfId="1696" priority="347" stopIfTrue="1">
      <formula>I14&gt;145</formula>
    </cfRule>
  </conditionalFormatting>
  <conditionalFormatting sqref="I16">
    <cfRule type="cellIs" dxfId="1695" priority="342" operator="between">
      <formula>7.01</formula>
      <formula>8</formula>
    </cfRule>
    <cfRule type="expression" dxfId="1694" priority="343">
      <formula>I16&lt;5</formula>
    </cfRule>
    <cfRule type="expression" dxfId="1693" priority="344">
      <formula>I16&gt;8</formula>
    </cfRule>
  </conditionalFormatting>
  <conditionalFormatting sqref="I10 I12">
    <cfRule type="cellIs" dxfId="1692" priority="334" operator="between">
      <formula>50</formula>
      <formula>54.99</formula>
    </cfRule>
    <cfRule type="cellIs" dxfId="1691" priority="335" operator="between">
      <formula>65.01</formula>
      <formula>70</formula>
    </cfRule>
    <cfRule type="expression" dxfId="1690" priority="336">
      <formula>I10&lt;50</formula>
    </cfRule>
    <cfRule type="expression" dxfId="1689" priority="337">
      <formula>I10&gt;70</formula>
    </cfRule>
  </conditionalFormatting>
  <conditionalFormatting sqref="I6 I8">
    <cfRule type="cellIs" dxfId="1688" priority="330" operator="between">
      <formula>40</formula>
      <formula>44.99</formula>
    </cfRule>
    <cfRule type="cellIs" dxfId="1687" priority="331" operator="between">
      <formula>55.1</formula>
      <formula>60</formula>
    </cfRule>
    <cfRule type="expression" dxfId="1686" priority="332">
      <formula>I6&lt;40</formula>
    </cfRule>
    <cfRule type="expression" dxfId="1685" priority="333">
      <formula>I6&gt;60</formula>
    </cfRule>
  </conditionalFormatting>
  <conditionalFormatting sqref="M14">
    <cfRule type="expression" dxfId="1684" priority="325" stopIfTrue="1">
      <formula>M14&lt;135</formula>
    </cfRule>
  </conditionalFormatting>
  <conditionalFormatting sqref="M14">
    <cfRule type="expression" dxfId="1683" priority="324" stopIfTrue="1">
      <formula>M14&gt;145</formula>
    </cfRule>
  </conditionalFormatting>
  <conditionalFormatting sqref="M16">
    <cfRule type="cellIs" dxfId="1682" priority="319" operator="between">
      <formula>7.01</formula>
      <formula>8</formula>
    </cfRule>
    <cfRule type="expression" dxfId="1681" priority="320">
      <formula>M16&lt;5</formula>
    </cfRule>
    <cfRule type="expression" dxfId="1680" priority="321">
      <formula>M16&gt;8</formula>
    </cfRule>
  </conditionalFormatting>
  <conditionalFormatting sqref="M10 M12">
    <cfRule type="cellIs" dxfId="1679" priority="311" operator="between">
      <formula>50</formula>
      <formula>54.99</formula>
    </cfRule>
    <cfRule type="cellIs" dxfId="1678" priority="312" operator="between">
      <formula>65.01</formula>
      <formula>70</formula>
    </cfRule>
    <cfRule type="expression" dxfId="1677" priority="313">
      <formula>M10&lt;50</formula>
    </cfRule>
    <cfRule type="expression" dxfId="1676" priority="314">
      <formula>M10&gt;70</formula>
    </cfRule>
  </conditionalFormatting>
  <conditionalFormatting sqref="M6 M8">
    <cfRule type="cellIs" dxfId="1675" priority="307" operator="between">
      <formula>40</formula>
      <formula>44.99</formula>
    </cfRule>
    <cfRule type="cellIs" dxfId="1674" priority="308" operator="between">
      <formula>55.1</formula>
      <formula>60</formula>
    </cfRule>
    <cfRule type="expression" dxfId="1673" priority="309">
      <formula>M6&lt;40</formula>
    </cfRule>
    <cfRule type="expression" dxfId="1672" priority="310">
      <formula>M6&gt;60</formula>
    </cfRule>
  </conditionalFormatting>
  <conditionalFormatting sqref="Q14">
    <cfRule type="expression" dxfId="1671" priority="302" stopIfTrue="1">
      <formula>Q14&lt;135</formula>
    </cfRule>
  </conditionalFormatting>
  <conditionalFormatting sqref="Q14">
    <cfRule type="expression" dxfId="1670" priority="301" stopIfTrue="1">
      <formula>Q14&gt;145</formula>
    </cfRule>
  </conditionalFormatting>
  <conditionalFormatting sqref="Q16">
    <cfRule type="cellIs" dxfId="1669" priority="296" operator="between">
      <formula>7.01</formula>
      <formula>8</formula>
    </cfRule>
    <cfRule type="expression" dxfId="1668" priority="297">
      <formula>Q16&lt;5</formula>
    </cfRule>
    <cfRule type="expression" dxfId="1667" priority="298">
      <formula>Q16&gt;8</formula>
    </cfRule>
  </conditionalFormatting>
  <conditionalFormatting sqref="Q10 Q12">
    <cfRule type="cellIs" dxfId="1666" priority="288" operator="between">
      <formula>50</formula>
      <formula>54.99</formula>
    </cfRule>
    <cfRule type="cellIs" dxfId="1665" priority="289" operator="between">
      <formula>65.01</formula>
      <formula>70</formula>
    </cfRule>
    <cfRule type="expression" dxfId="1664" priority="290">
      <formula>Q10&lt;50</formula>
    </cfRule>
    <cfRule type="expression" dxfId="1663" priority="291">
      <formula>Q10&gt;70</formula>
    </cfRule>
  </conditionalFormatting>
  <conditionalFormatting sqref="Q6 Q8">
    <cfRule type="cellIs" dxfId="1662" priority="284" operator="between">
      <formula>40</formula>
      <formula>44.99</formula>
    </cfRule>
    <cfRule type="cellIs" dxfId="1661" priority="285" operator="between">
      <formula>55.1</formula>
      <formula>60</formula>
    </cfRule>
    <cfRule type="expression" dxfId="1660" priority="286">
      <formula>Q6&lt;40</formula>
    </cfRule>
    <cfRule type="expression" dxfId="1659" priority="287">
      <formula>Q6&gt;60</formula>
    </cfRule>
  </conditionalFormatting>
  <conditionalFormatting sqref="K33:L33">
    <cfRule type="expression" dxfId="1658" priority="278">
      <formula>K33&lt;22</formula>
    </cfRule>
    <cfRule type="expression" dxfId="1657" priority="279">
      <formula>K33&gt;28</formula>
    </cfRule>
  </conditionalFormatting>
  <conditionalFormatting sqref="K29:L31">
    <cfRule type="cellIs" dxfId="1656" priority="274" operator="between">
      <formula>50</formula>
      <formula>54.9</formula>
    </cfRule>
    <cfRule type="cellIs" dxfId="1655" priority="275" operator="between">
      <formula>65.1</formula>
      <formula>70</formula>
    </cfRule>
    <cfRule type="expression" dxfId="1654" priority="276">
      <formula>K29&lt;50</formula>
    </cfRule>
    <cfRule type="expression" dxfId="1653" priority="277">
      <formula>K29&gt;70</formula>
    </cfRule>
  </conditionalFormatting>
  <conditionalFormatting sqref="K34">
    <cfRule type="cellIs" dxfId="1652" priority="270" operator="between">
      <formula>30</formula>
      <formula>30.9</formula>
    </cfRule>
    <cfRule type="cellIs" dxfId="1651" priority="271" operator="between">
      <formula>37.1</formula>
      <formula>40</formula>
    </cfRule>
    <cfRule type="expression" dxfId="1650" priority="272">
      <formula>K34&lt;30</formula>
    </cfRule>
    <cfRule type="expression" dxfId="1649" priority="273">
      <formula>K34&gt;40</formula>
    </cfRule>
  </conditionalFormatting>
  <conditionalFormatting sqref="K35">
    <cfRule type="expression" dxfId="1648" priority="268">
      <formula>K35&lt;55</formula>
    </cfRule>
    <cfRule type="expression" dxfId="1647" priority="269">
      <formula>K35&gt;65</formula>
    </cfRule>
  </conditionalFormatting>
  <conditionalFormatting sqref="K36">
    <cfRule type="cellIs" dxfId="1646" priority="264" operator="between">
      <formula>80</formula>
      <formula>84.9</formula>
    </cfRule>
    <cfRule type="cellIs" dxfId="1645" priority="265" operator="between">
      <formula>95.1</formula>
      <formula>100</formula>
    </cfRule>
    <cfRule type="expression" dxfId="1644" priority="266">
      <formula>K36&lt;80</formula>
    </cfRule>
    <cfRule type="expression" dxfId="1643" priority="267">
      <formula>K36&gt;100</formula>
    </cfRule>
  </conditionalFormatting>
  <conditionalFormatting sqref="K37">
    <cfRule type="expression" dxfId="1642" priority="262">
      <formula>K37&lt;40</formula>
    </cfRule>
    <cfRule type="expression" dxfId="1641" priority="263">
      <formula>K37&gt;60</formula>
    </cfRule>
  </conditionalFormatting>
  <conditionalFormatting sqref="K38">
    <cfRule type="expression" dxfId="1640" priority="260">
      <formula>K38&lt;50</formula>
    </cfRule>
    <cfRule type="expression" dxfId="1639" priority="261">
      <formula>K38&gt;70</formula>
    </cfRule>
  </conditionalFormatting>
  <conditionalFormatting sqref="K32:L32">
    <cfRule type="cellIs" dxfId="1638" priority="256" operator="between">
      <formula>50</formula>
      <formula>54.9</formula>
    </cfRule>
    <cfRule type="cellIs" dxfId="1637" priority="257" operator="between">
      <formula>65.1</formula>
      <formula>70</formula>
    </cfRule>
    <cfRule type="expression" dxfId="1636" priority="258">
      <formula>K32&lt;50</formula>
    </cfRule>
    <cfRule type="expression" dxfId="1635" priority="259">
      <formula>K32&gt;70</formula>
    </cfRule>
  </conditionalFormatting>
  <conditionalFormatting sqref="I33:J33">
    <cfRule type="expression" dxfId="1634" priority="254">
      <formula>I33&lt;22</formula>
    </cfRule>
    <cfRule type="expression" dxfId="1633" priority="255">
      <formula>I33&gt;28</formula>
    </cfRule>
  </conditionalFormatting>
  <conditionalFormatting sqref="I29:J31">
    <cfRule type="cellIs" dxfId="1632" priority="250" operator="between">
      <formula>50</formula>
      <formula>54.9</formula>
    </cfRule>
    <cfRule type="cellIs" dxfId="1631" priority="251" operator="between">
      <formula>65.1</formula>
      <formula>70</formula>
    </cfRule>
    <cfRule type="expression" dxfId="1630" priority="252">
      <formula>I29&lt;50</formula>
    </cfRule>
    <cfRule type="expression" dxfId="1629" priority="253">
      <formula>I29&gt;70</formula>
    </cfRule>
  </conditionalFormatting>
  <conditionalFormatting sqref="I34">
    <cfRule type="cellIs" dxfId="1628" priority="246" operator="between">
      <formula>30</formula>
      <formula>30.9</formula>
    </cfRule>
    <cfRule type="cellIs" dxfId="1627" priority="247" operator="between">
      <formula>37.1</formula>
      <formula>40</formula>
    </cfRule>
    <cfRule type="expression" dxfId="1626" priority="248">
      <formula>I34&lt;30</formula>
    </cfRule>
    <cfRule type="expression" dxfId="1625" priority="249">
      <formula>I34&gt;40</formula>
    </cfRule>
  </conditionalFormatting>
  <conditionalFormatting sqref="I35">
    <cfRule type="expression" dxfId="1624" priority="244">
      <formula>I35&lt;55</formula>
    </cfRule>
    <cfRule type="expression" dxfId="1623" priority="245">
      <formula>I35&gt;65</formula>
    </cfRule>
  </conditionalFormatting>
  <conditionalFormatting sqref="I37">
    <cfRule type="expression" dxfId="1622" priority="242">
      <formula>I37&lt;40</formula>
    </cfRule>
    <cfRule type="expression" dxfId="1621" priority="243">
      <formula>I37&gt;60</formula>
    </cfRule>
  </conditionalFormatting>
  <conditionalFormatting sqref="I38">
    <cfRule type="expression" dxfId="1620" priority="240">
      <formula>I38&lt;50</formula>
    </cfRule>
    <cfRule type="expression" dxfId="1619" priority="241">
      <formula>I38&gt;70</formula>
    </cfRule>
  </conditionalFormatting>
  <conditionalFormatting sqref="I32:J32">
    <cfRule type="cellIs" dxfId="1618" priority="236" operator="between">
      <formula>50</formula>
      <formula>54.9</formula>
    </cfRule>
    <cfRule type="cellIs" dxfId="1617" priority="237" operator="between">
      <formula>65.1</formula>
      <formula>70</formula>
    </cfRule>
    <cfRule type="expression" dxfId="1616" priority="238">
      <formula>I32&lt;50</formula>
    </cfRule>
    <cfRule type="expression" dxfId="1615" priority="239">
      <formula>I32&gt;70</formula>
    </cfRule>
  </conditionalFormatting>
  <conditionalFormatting sqref="O33:P33">
    <cfRule type="expression" dxfId="1614" priority="234">
      <formula>O33&lt;22</formula>
    </cfRule>
    <cfRule type="expression" dxfId="1613" priority="235">
      <formula>O33&gt;28</formula>
    </cfRule>
  </conditionalFormatting>
  <conditionalFormatting sqref="O29:P31">
    <cfRule type="cellIs" dxfId="1612" priority="230" operator="between">
      <formula>50</formula>
      <formula>54.9</formula>
    </cfRule>
    <cfRule type="cellIs" dxfId="1611" priority="231" operator="between">
      <formula>65.1</formula>
      <formula>70</formula>
    </cfRule>
    <cfRule type="expression" dxfId="1610" priority="232">
      <formula>O29&lt;50</formula>
    </cfRule>
    <cfRule type="expression" dxfId="1609" priority="233">
      <formula>O29&gt;70</formula>
    </cfRule>
  </conditionalFormatting>
  <conditionalFormatting sqref="O34">
    <cfRule type="cellIs" dxfId="1608" priority="226" operator="between">
      <formula>30</formula>
      <formula>30.9</formula>
    </cfRule>
    <cfRule type="cellIs" dxfId="1607" priority="227" operator="between">
      <formula>37.1</formula>
      <formula>40</formula>
    </cfRule>
    <cfRule type="expression" dxfId="1606" priority="228">
      <formula>O34&lt;30</formula>
    </cfRule>
    <cfRule type="expression" dxfId="1605" priority="229">
      <formula>O34&gt;40</formula>
    </cfRule>
  </conditionalFormatting>
  <conditionalFormatting sqref="O35">
    <cfRule type="expression" dxfId="1604" priority="224">
      <formula>O35&lt;55</formula>
    </cfRule>
    <cfRule type="expression" dxfId="1603" priority="225">
      <formula>O35&gt;65</formula>
    </cfRule>
  </conditionalFormatting>
  <conditionalFormatting sqref="O36">
    <cfRule type="cellIs" dxfId="1602" priority="220" operator="between">
      <formula>80</formula>
      <formula>84.9</formula>
    </cfRule>
    <cfRule type="cellIs" dxfId="1601" priority="221" operator="between">
      <formula>95.1</formula>
      <formula>100</formula>
    </cfRule>
    <cfRule type="expression" dxfId="1600" priority="222">
      <formula>O36&lt;80</formula>
    </cfRule>
    <cfRule type="expression" dxfId="1599" priority="223">
      <formula>O36&gt;100</formula>
    </cfRule>
  </conditionalFormatting>
  <conditionalFormatting sqref="O37">
    <cfRule type="expression" dxfId="1598" priority="218">
      <formula>O37&lt;40</formula>
    </cfRule>
    <cfRule type="expression" dxfId="1597" priority="219">
      <formula>O37&gt;60</formula>
    </cfRule>
  </conditionalFormatting>
  <conditionalFormatting sqref="O38">
    <cfRule type="expression" dxfId="1596" priority="216">
      <formula>O38&lt;50</formula>
    </cfRule>
    <cfRule type="expression" dxfId="1595" priority="217">
      <formula>O38&gt;70</formula>
    </cfRule>
  </conditionalFormatting>
  <conditionalFormatting sqref="O32:P32">
    <cfRule type="cellIs" dxfId="1594" priority="212" operator="between">
      <formula>50</formula>
      <formula>54.9</formula>
    </cfRule>
    <cfRule type="cellIs" dxfId="1593" priority="213" operator="between">
      <formula>65.1</formula>
      <formula>70</formula>
    </cfRule>
    <cfRule type="expression" dxfId="1592" priority="214">
      <formula>O32&lt;50</formula>
    </cfRule>
    <cfRule type="expression" dxfId="1591" priority="215">
      <formula>O32&gt;70</formula>
    </cfRule>
  </conditionalFormatting>
  <conditionalFormatting sqref="M33:N33">
    <cfRule type="expression" dxfId="1590" priority="210">
      <formula>M33&lt;22</formula>
    </cfRule>
    <cfRule type="expression" dxfId="1589" priority="211">
      <formula>M33&gt;28</formula>
    </cfRule>
  </conditionalFormatting>
  <conditionalFormatting sqref="M29:N31">
    <cfRule type="cellIs" dxfId="1588" priority="206" operator="between">
      <formula>50</formula>
      <formula>54.9</formula>
    </cfRule>
    <cfRule type="cellIs" dxfId="1587" priority="207" operator="between">
      <formula>65.1</formula>
      <formula>70</formula>
    </cfRule>
    <cfRule type="expression" dxfId="1586" priority="208">
      <formula>M29&lt;50</formula>
    </cfRule>
    <cfRule type="expression" dxfId="1585" priority="209">
      <formula>M29&gt;70</formula>
    </cfRule>
  </conditionalFormatting>
  <conditionalFormatting sqref="M34">
    <cfRule type="cellIs" dxfId="1584" priority="202" operator="between">
      <formula>30</formula>
      <formula>30.9</formula>
    </cfRule>
    <cfRule type="cellIs" dxfId="1583" priority="203" operator="between">
      <formula>37.1</formula>
      <formula>40</formula>
    </cfRule>
    <cfRule type="expression" dxfId="1582" priority="204">
      <formula>M34&lt;30</formula>
    </cfRule>
    <cfRule type="expression" dxfId="1581" priority="205">
      <formula>M34&gt;40</formula>
    </cfRule>
  </conditionalFormatting>
  <conditionalFormatting sqref="M35">
    <cfRule type="expression" dxfId="1580" priority="200">
      <formula>M35&lt;55</formula>
    </cfRule>
    <cfRule type="expression" dxfId="1579" priority="201">
      <formula>M35&gt;65</formula>
    </cfRule>
  </conditionalFormatting>
  <conditionalFormatting sqref="M37">
    <cfRule type="expression" dxfId="1578" priority="198">
      <formula>M37&lt;40</formula>
    </cfRule>
    <cfRule type="expression" dxfId="1577" priority="199">
      <formula>M37&gt;60</formula>
    </cfRule>
  </conditionalFormatting>
  <conditionalFormatting sqref="M38">
    <cfRule type="expression" dxfId="1576" priority="196">
      <formula>M38&lt;50</formula>
    </cfRule>
    <cfRule type="expression" dxfId="1575" priority="197">
      <formula>M38&gt;70</formula>
    </cfRule>
  </conditionalFormatting>
  <conditionalFormatting sqref="M32:N32">
    <cfRule type="cellIs" dxfId="1574" priority="192" operator="between">
      <formula>50</formula>
      <formula>54.9</formula>
    </cfRule>
    <cfRule type="cellIs" dxfId="1573" priority="193" operator="between">
      <formula>65.1</formula>
      <formula>70</formula>
    </cfRule>
    <cfRule type="expression" dxfId="1572" priority="194">
      <formula>M32&lt;50</formula>
    </cfRule>
    <cfRule type="expression" dxfId="1571" priority="195">
      <formula>M32&gt;70</formula>
    </cfRule>
  </conditionalFormatting>
  <conditionalFormatting sqref="S33:T33">
    <cfRule type="expression" dxfId="1570" priority="190">
      <formula>S33&lt;22</formula>
    </cfRule>
    <cfRule type="expression" dxfId="1569" priority="191">
      <formula>S33&gt;28</formula>
    </cfRule>
  </conditionalFormatting>
  <conditionalFormatting sqref="S29:T31">
    <cfRule type="cellIs" dxfId="1568" priority="186" operator="between">
      <formula>50</formula>
      <formula>54.9</formula>
    </cfRule>
    <cfRule type="cellIs" dxfId="1567" priority="187" operator="between">
      <formula>65.1</formula>
      <formula>70</formula>
    </cfRule>
    <cfRule type="expression" dxfId="1566" priority="188">
      <formula>S29&lt;50</formula>
    </cfRule>
    <cfRule type="expression" dxfId="1565" priority="189">
      <formula>S29&gt;70</formula>
    </cfRule>
  </conditionalFormatting>
  <conditionalFormatting sqref="S34">
    <cfRule type="cellIs" dxfId="1564" priority="182" operator="between">
      <formula>30</formula>
      <formula>30.9</formula>
    </cfRule>
    <cfRule type="cellIs" dxfId="1563" priority="183" operator="between">
      <formula>37.1</formula>
      <formula>40</formula>
    </cfRule>
    <cfRule type="expression" dxfId="1562" priority="184">
      <formula>S34&lt;30</formula>
    </cfRule>
    <cfRule type="expression" dxfId="1561" priority="185">
      <formula>S34&gt;40</formula>
    </cfRule>
  </conditionalFormatting>
  <conditionalFormatting sqref="S35">
    <cfRule type="expression" dxfId="1560" priority="180">
      <formula>S35&lt;55</formula>
    </cfRule>
    <cfRule type="expression" dxfId="1559" priority="181">
      <formula>S35&gt;65</formula>
    </cfRule>
  </conditionalFormatting>
  <conditionalFormatting sqref="S36">
    <cfRule type="cellIs" dxfId="1558" priority="176" operator="between">
      <formula>80</formula>
      <formula>84.9</formula>
    </cfRule>
    <cfRule type="cellIs" dxfId="1557" priority="177" operator="between">
      <formula>95.1</formula>
      <formula>100</formula>
    </cfRule>
    <cfRule type="expression" dxfId="1556" priority="178">
      <formula>S36&lt;80</formula>
    </cfRule>
    <cfRule type="expression" dxfId="1555" priority="179">
      <formula>S36&gt;100</formula>
    </cfRule>
  </conditionalFormatting>
  <conditionalFormatting sqref="S37">
    <cfRule type="expression" dxfId="1554" priority="174">
      <formula>S37&lt;40</formula>
    </cfRule>
    <cfRule type="expression" dxfId="1553" priority="175">
      <formula>S37&gt;60</formula>
    </cfRule>
  </conditionalFormatting>
  <conditionalFormatting sqref="S38">
    <cfRule type="expression" dxfId="1552" priority="172">
      <formula>S38&lt;50</formula>
    </cfRule>
    <cfRule type="expression" dxfId="1551" priority="173">
      <formula>S38&gt;70</formula>
    </cfRule>
  </conditionalFormatting>
  <conditionalFormatting sqref="S32:T32">
    <cfRule type="cellIs" dxfId="1550" priority="168" operator="between">
      <formula>50</formula>
      <formula>54.9</formula>
    </cfRule>
    <cfRule type="cellIs" dxfId="1549" priority="169" operator="between">
      <formula>65.1</formula>
      <formula>70</formula>
    </cfRule>
    <cfRule type="expression" dxfId="1548" priority="170">
      <formula>S32&lt;50</formula>
    </cfRule>
    <cfRule type="expression" dxfId="1547" priority="171">
      <formula>S32&gt;70</formula>
    </cfRule>
  </conditionalFormatting>
  <conditionalFormatting sqref="Q33:R33">
    <cfRule type="expression" dxfId="1546" priority="166">
      <formula>Q33&lt;22</formula>
    </cfRule>
    <cfRule type="expression" dxfId="1545" priority="167">
      <formula>Q33&gt;28</formula>
    </cfRule>
  </conditionalFormatting>
  <conditionalFormatting sqref="Q29:R31">
    <cfRule type="cellIs" dxfId="1544" priority="162" operator="between">
      <formula>50</formula>
      <formula>54.9</formula>
    </cfRule>
    <cfRule type="cellIs" dxfId="1543" priority="163" operator="between">
      <formula>65.1</formula>
      <formula>70</formula>
    </cfRule>
    <cfRule type="expression" dxfId="1542" priority="164">
      <formula>Q29&lt;50</formula>
    </cfRule>
    <cfRule type="expression" dxfId="1541" priority="165">
      <formula>Q29&gt;70</formula>
    </cfRule>
  </conditionalFormatting>
  <conditionalFormatting sqref="Q34">
    <cfRule type="cellIs" dxfId="1540" priority="158" operator="between">
      <formula>30</formula>
      <formula>30.9</formula>
    </cfRule>
    <cfRule type="cellIs" dxfId="1539" priority="159" operator="between">
      <formula>37.1</formula>
      <formula>40</formula>
    </cfRule>
    <cfRule type="expression" dxfId="1538" priority="160">
      <formula>Q34&lt;30</formula>
    </cfRule>
    <cfRule type="expression" dxfId="1537" priority="161">
      <formula>Q34&gt;40</formula>
    </cfRule>
  </conditionalFormatting>
  <conditionalFormatting sqref="Q35">
    <cfRule type="expression" dxfId="1536" priority="156">
      <formula>Q35&lt;55</formula>
    </cfRule>
    <cfRule type="expression" dxfId="1535" priority="157">
      <formula>Q35&gt;65</formula>
    </cfRule>
  </conditionalFormatting>
  <conditionalFormatting sqref="Q37">
    <cfRule type="expression" dxfId="1534" priority="154">
      <formula>Q37&lt;40</formula>
    </cfRule>
    <cfRule type="expression" dxfId="1533" priority="155">
      <formula>Q37&gt;60</formula>
    </cfRule>
  </conditionalFormatting>
  <conditionalFormatting sqref="Q38">
    <cfRule type="expression" dxfId="1532" priority="152">
      <formula>Q38&lt;50</formula>
    </cfRule>
    <cfRule type="expression" dxfId="1531" priority="153">
      <formula>Q38&gt;70</formula>
    </cfRule>
  </conditionalFormatting>
  <conditionalFormatting sqref="Q32:R32">
    <cfRule type="cellIs" dxfId="1530" priority="148" operator="between">
      <formula>50</formula>
      <formula>54.9</formula>
    </cfRule>
    <cfRule type="cellIs" dxfId="1529" priority="149" operator="between">
      <formula>65.1</formula>
      <formula>70</formula>
    </cfRule>
    <cfRule type="expression" dxfId="1528" priority="150">
      <formula>Q32&lt;50</formula>
    </cfRule>
    <cfRule type="expression" dxfId="1527" priority="151">
      <formula>Q32&gt;70</formula>
    </cfRule>
  </conditionalFormatting>
  <conditionalFormatting sqref="I39 M39 Q39">
    <cfRule type="expression" dxfId="1526" priority="146">
      <formula>I39&lt;20</formula>
    </cfRule>
    <cfRule type="expression" dxfId="1525" priority="147">
      <formula>I39&gt;30</formula>
    </cfRule>
  </conditionalFormatting>
  <conditionalFormatting sqref="K39 O39 S39">
    <cfRule type="expression" dxfId="1524" priority="144">
      <formula>K39&lt;20</formula>
    </cfRule>
    <cfRule type="expression" dxfId="1523" priority="145">
      <formula>K39&gt;30</formula>
    </cfRule>
  </conditionalFormatting>
  <conditionalFormatting sqref="I15">
    <cfRule type="cellIs" dxfId="1522" priority="140" operator="between">
      <formula>7</formula>
      <formula>7.499</formula>
    </cfRule>
    <cfRule type="cellIs" dxfId="1521" priority="141" operator="between">
      <formula>9.51</formula>
      <formula>10</formula>
    </cfRule>
    <cfRule type="expression" dxfId="1520" priority="142">
      <formula>I15&lt;7</formula>
    </cfRule>
    <cfRule type="expression" dxfId="1519" priority="143">
      <formula>I15&gt;10</formula>
    </cfRule>
  </conditionalFormatting>
  <conditionalFormatting sqref="M15">
    <cfRule type="cellIs" dxfId="1518" priority="136" operator="between">
      <formula>7</formula>
      <formula>7.499</formula>
    </cfRule>
    <cfRule type="cellIs" dxfId="1517" priority="137" operator="between">
      <formula>9.51</formula>
      <formula>10</formula>
    </cfRule>
    <cfRule type="expression" dxfId="1516" priority="138">
      <formula>M15&lt;7</formula>
    </cfRule>
    <cfRule type="expression" dxfId="1515" priority="139">
      <formula>M15&gt;10</formula>
    </cfRule>
  </conditionalFormatting>
  <conditionalFormatting sqref="Q15">
    <cfRule type="cellIs" dxfId="1514" priority="132" operator="between">
      <formula>7</formula>
      <formula>7.499</formula>
    </cfRule>
    <cfRule type="cellIs" dxfId="1513" priority="133" operator="between">
      <formula>9.51</formula>
      <formula>10</formula>
    </cfRule>
    <cfRule type="expression" dxfId="1512" priority="134">
      <formula>Q15&lt;7</formula>
    </cfRule>
    <cfRule type="expression" dxfId="1511" priority="135">
      <formula>Q15&gt;10</formula>
    </cfRule>
  </conditionalFormatting>
  <conditionalFormatting sqref="I17">
    <cfRule type="cellIs" dxfId="1510" priority="104" operator="between">
      <formula>2</formula>
      <formula>2.099</formula>
    </cfRule>
    <cfRule type="cellIs" dxfId="1509" priority="105" operator="between">
      <formula>2.31</formula>
      <formula>2.4</formula>
    </cfRule>
    <cfRule type="expression" dxfId="1508" priority="106">
      <formula>I17&lt;2</formula>
    </cfRule>
    <cfRule type="expression" dxfId="1507" priority="107">
      <formula>I17&gt;2.4</formula>
    </cfRule>
  </conditionalFormatting>
  <conditionalFormatting sqref="M17">
    <cfRule type="cellIs" dxfId="1506" priority="100" operator="between">
      <formula>2</formula>
      <formula>2.099</formula>
    </cfRule>
    <cfRule type="cellIs" dxfId="1505" priority="101" operator="between">
      <formula>2.31</formula>
      <formula>2.4</formula>
    </cfRule>
    <cfRule type="expression" dxfId="1504" priority="102">
      <formula>M17&lt;2</formula>
    </cfRule>
    <cfRule type="expression" dxfId="1503" priority="103">
      <formula>M17&gt;2.4</formula>
    </cfRule>
  </conditionalFormatting>
  <conditionalFormatting sqref="Q17">
    <cfRule type="cellIs" dxfId="1502" priority="96" operator="between">
      <formula>2</formula>
      <formula>2.099</formula>
    </cfRule>
    <cfRule type="cellIs" dxfId="1501" priority="97" operator="between">
      <formula>2.31</formula>
      <formula>2.4</formula>
    </cfRule>
    <cfRule type="expression" dxfId="1500" priority="98">
      <formula>Q17&lt;2</formula>
    </cfRule>
    <cfRule type="expression" dxfId="1499" priority="99">
      <formula>Q17&gt;2.4</formula>
    </cfRule>
  </conditionalFormatting>
  <conditionalFormatting sqref="I23">
    <cfRule type="cellIs" dxfId="1498" priority="92" operator="between">
      <formula>5</formula>
      <formula>5.499</formula>
    </cfRule>
    <cfRule type="cellIs" dxfId="1497" priority="93" operator="between">
      <formula>6.51</formula>
      <formula>8</formula>
    </cfRule>
    <cfRule type="expression" dxfId="1496" priority="94">
      <formula>I23&lt;5</formula>
    </cfRule>
    <cfRule type="expression" dxfId="1495" priority="95">
      <formula>I23&gt;8</formula>
    </cfRule>
  </conditionalFormatting>
  <conditionalFormatting sqref="I24">
    <cfRule type="cellIs" dxfId="1494" priority="88" operator="between">
      <formula>1.8</formula>
      <formula>1.999</formula>
    </cfRule>
    <cfRule type="cellIs" dxfId="1493" priority="89" operator="between">
      <formula>2.21</formula>
      <formula>2.4</formula>
    </cfRule>
    <cfRule type="expression" dxfId="1492" priority="90">
      <formula>I24&lt;1.8</formula>
    </cfRule>
    <cfRule type="expression" dxfId="1491" priority="91">
      <formula>I24&gt;2.4</formula>
    </cfRule>
  </conditionalFormatting>
  <conditionalFormatting sqref="M23">
    <cfRule type="cellIs" dxfId="1490" priority="84" operator="between">
      <formula>5</formula>
      <formula>5.499</formula>
    </cfRule>
    <cfRule type="cellIs" dxfId="1489" priority="85" operator="between">
      <formula>6.51</formula>
      <formula>8</formula>
    </cfRule>
    <cfRule type="expression" dxfId="1488" priority="86">
      <formula>M23&lt;5</formula>
    </cfRule>
    <cfRule type="expression" dxfId="1487" priority="87">
      <formula>M23&gt;8</formula>
    </cfRule>
  </conditionalFormatting>
  <conditionalFormatting sqref="M24">
    <cfRule type="cellIs" dxfId="1486" priority="80" operator="between">
      <formula>1.8</formula>
      <formula>1.999</formula>
    </cfRule>
    <cfRule type="cellIs" dxfId="1485" priority="81" operator="between">
      <formula>2.21</formula>
      <formula>2.4</formula>
    </cfRule>
    <cfRule type="expression" dxfId="1484" priority="82">
      <formula>M24&lt;1.8</formula>
    </cfRule>
    <cfRule type="expression" dxfId="1483" priority="83">
      <formula>M24&gt;2.4</formula>
    </cfRule>
  </conditionalFormatting>
  <conditionalFormatting sqref="Q23">
    <cfRule type="cellIs" dxfId="1482" priority="76" operator="between">
      <formula>5</formula>
      <formula>5.499</formula>
    </cfRule>
    <cfRule type="cellIs" dxfId="1481" priority="77" operator="between">
      <formula>6.51</formula>
      <formula>8</formula>
    </cfRule>
    <cfRule type="expression" dxfId="1480" priority="78">
      <formula>Q23&lt;5</formula>
    </cfRule>
    <cfRule type="expression" dxfId="1479" priority="79">
      <formula>Q23&gt;8</formula>
    </cfRule>
  </conditionalFormatting>
  <conditionalFormatting sqref="Q24">
    <cfRule type="cellIs" dxfId="1478" priority="72" operator="between">
      <formula>1.8</formula>
      <formula>1.999</formula>
    </cfRule>
    <cfRule type="cellIs" dxfId="1477" priority="73" operator="between">
      <formula>2.21</formula>
      <formula>2.4</formula>
    </cfRule>
    <cfRule type="expression" dxfId="1476" priority="74">
      <formula>Q24&lt;1.8</formula>
    </cfRule>
    <cfRule type="expression" dxfId="1475" priority="75">
      <formula>Q24&gt;2.4</formula>
    </cfRule>
  </conditionalFormatting>
  <conditionalFormatting sqref="I18">
    <cfRule type="expression" dxfId="1474" priority="47">
      <formula>I18&lt;40%</formula>
    </cfRule>
    <cfRule type="expression" dxfId="1473" priority="48">
      <formula>I18&gt;50%</formula>
    </cfRule>
  </conditionalFormatting>
  <conditionalFormatting sqref="I20:I21">
    <cfRule type="expression" dxfId="1472" priority="45">
      <formula>I20&lt;40%</formula>
    </cfRule>
    <cfRule type="expression" dxfId="1471" priority="46">
      <formula>I20&gt;50%</formula>
    </cfRule>
  </conditionalFormatting>
  <conditionalFormatting sqref="M18">
    <cfRule type="expression" dxfId="1470" priority="41">
      <formula>M18&lt;40%</formula>
    </cfRule>
    <cfRule type="expression" dxfId="1469" priority="42">
      <formula>M18&gt;50%</formula>
    </cfRule>
  </conditionalFormatting>
  <conditionalFormatting sqref="M20:M21">
    <cfRule type="expression" dxfId="1468" priority="39">
      <formula>M20&lt;40%</formula>
    </cfRule>
    <cfRule type="expression" dxfId="1467" priority="40">
      <formula>M20&gt;50%</formula>
    </cfRule>
  </conditionalFormatting>
  <conditionalFormatting sqref="Q18">
    <cfRule type="expression" dxfId="1466" priority="35">
      <formula>Q18&lt;40%</formula>
    </cfRule>
    <cfRule type="expression" dxfId="1465" priority="36">
      <formula>Q18&gt;50%</formula>
    </cfRule>
  </conditionalFormatting>
  <conditionalFormatting sqref="Q20:Q21">
    <cfRule type="expression" dxfId="1464" priority="33">
      <formula>Q20&lt;40%</formula>
    </cfRule>
    <cfRule type="expression" dxfId="1463" priority="34">
      <formula>Q20&gt;50%</formula>
    </cfRule>
  </conditionalFormatting>
  <conditionalFormatting sqref="I19">
    <cfRule type="cellIs" dxfId="1462" priority="21" operator="between">
      <formula>15%</formula>
      <formula>15.99%</formula>
    </cfRule>
    <cfRule type="cellIs" dxfId="1461" priority="22" operator="between">
      <formula>20.01%</formula>
      <formula>25%</formula>
    </cfRule>
    <cfRule type="expression" dxfId="1460" priority="23">
      <formula>I19&lt;15%</formula>
    </cfRule>
    <cfRule type="expression" dxfId="1459" priority="24">
      <formula>I19&gt;25%</formula>
    </cfRule>
  </conditionalFormatting>
  <conditionalFormatting sqref="M19">
    <cfRule type="cellIs" dxfId="1458" priority="17" operator="between">
      <formula>15%</formula>
      <formula>15.99%</formula>
    </cfRule>
    <cfRule type="cellIs" dxfId="1457" priority="18" operator="between">
      <formula>20.01%</formula>
      <formula>25%</formula>
    </cfRule>
    <cfRule type="expression" dxfId="1456" priority="19">
      <formula>M19&lt;15%</formula>
    </cfRule>
    <cfRule type="expression" dxfId="1455" priority="20">
      <formula>M19&gt;25%</formula>
    </cfRule>
  </conditionalFormatting>
  <conditionalFormatting sqref="Q19">
    <cfRule type="cellIs" dxfId="1454" priority="13" operator="between">
      <formula>15%</formula>
      <formula>15.99%</formula>
    </cfRule>
    <cfRule type="cellIs" dxfId="1453" priority="14" operator="between">
      <formula>20.01%</formula>
      <formula>25%</formula>
    </cfRule>
    <cfRule type="expression" dxfId="1452" priority="15">
      <formula>Q19&lt;15%</formula>
    </cfRule>
    <cfRule type="expression" dxfId="1451" priority="16">
      <formula>Q19&gt;25%</formula>
    </cfRule>
  </conditionalFormatting>
  <conditionalFormatting sqref="I22">
    <cfRule type="cellIs" dxfId="1450" priority="9" operator="between">
      <formula>0.5%</formula>
      <formula>0.599%</formula>
    </cfRule>
    <cfRule type="cellIs" dxfId="1449" priority="10" operator="between">
      <formula>0.81%</formula>
      <formula>1%</formula>
    </cfRule>
    <cfRule type="expression" dxfId="1448" priority="11">
      <formula>I22&lt;0.5%</formula>
    </cfRule>
    <cfRule type="expression" dxfId="1447" priority="12">
      <formula>I22&gt;1%</formula>
    </cfRule>
  </conditionalFormatting>
  <conditionalFormatting sqref="M22">
    <cfRule type="cellIs" dxfId="1446" priority="5" operator="between">
      <formula>0.5%</formula>
      <formula>0.599%</formula>
    </cfRule>
    <cfRule type="cellIs" dxfId="1445" priority="6" operator="between">
      <formula>0.81%</formula>
      <formula>1%</formula>
    </cfRule>
    <cfRule type="expression" dxfId="1444" priority="7">
      <formula>M22&lt;0.5%</formula>
    </cfRule>
    <cfRule type="expression" dxfId="1443" priority="8">
      <formula>M22&gt;1%</formula>
    </cfRule>
  </conditionalFormatting>
  <conditionalFormatting sqref="Q22">
    <cfRule type="cellIs" dxfId="1442" priority="1" operator="between">
      <formula>0.5%</formula>
      <formula>0.599%</formula>
    </cfRule>
    <cfRule type="cellIs" dxfId="1441" priority="2" operator="between">
      <formula>0.81%</formula>
      <formula>1%</formula>
    </cfRule>
    <cfRule type="expression" dxfId="1440" priority="3">
      <formula>Q22&lt;0.5%</formula>
    </cfRule>
    <cfRule type="expression" dxfId="1439" priority="4">
      <formula>Q22&gt;1%</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theme="5" tint="0.39997558519241921"/>
  </sheetPr>
  <dimension ref="A1:T23"/>
  <sheetViews>
    <sheetView view="pageBreakPreview" zoomScale="70" zoomScaleNormal="70" zoomScaleSheetLayoutView="70" workbookViewId="0">
      <selection activeCell="W17" sqref="W17"/>
    </sheetView>
  </sheetViews>
  <sheetFormatPr defaultRowHeight="16.5"/>
  <cols>
    <col min="1" max="1" width="5" style="8" customWidth="1"/>
    <col min="2" max="2" width="11.75" style="30" customWidth="1"/>
    <col min="3" max="3" width="5.75" style="30" customWidth="1"/>
    <col min="4" max="4" width="7.375" style="30" customWidth="1"/>
    <col min="5" max="5" width="2.75" style="30"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3446" t="s">
        <v>134</v>
      </c>
      <c r="B1" s="3446"/>
      <c r="C1" s="3446"/>
      <c r="D1" s="3446"/>
      <c r="E1" s="3446"/>
      <c r="F1" s="3446"/>
      <c r="G1" s="3446"/>
      <c r="H1" s="3446"/>
      <c r="I1" s="3446"/>
      <c r="J1" s="3446"/>
      <c r="K1" s="3446"/>
      <c r="L1" s="3446"/>
      <c r="M1" s="3446"/>
      <c r="N1" s="3446"/>
      <c r="O1" s="3446"/>
      <c r="P1" s="3446"/>
      <c r="Q1" s="1635"/>
      <c r="R1" s="1635"/>
      <c r="S1" s="1635"/>
      <c r="T1" s="1635"/>
    </row>
    <row r="2" spans="1:20" ht="51.75" customHeight="1">
      <c r="A2" s="3475" t="s">
        <v>1438</v>
      </c>
      <c r="B2" s="3475"/>
      <c r="C2" s="3475"/>
      <c r="D2" s="3475"/>
      <c r="E2" s="3475"/>
      <c r="F2" s="3475"/>
      <c r="G2" s="3475"/>
      <c r="H2" s="3475"/>
      <c r="I2" s="3475"/>
      <c r="J2" s="3475"/>
      <c r="K2" s="3475"/>
      <c r="L2" s="3475"/>
      <c r="M2" s="3475"/>
      <c r="N2" s="3475"/>
      <c r="O2" s="3475"/>
      <c r="P2" s="3476"/>
      <c r="Q2" s="3366" t="s">
        <v>87</v>
      </c>
      <c r="R2" s="3200"/>
      <c r="S2" s="3465" t="s">
        <v>1341</v>
      </c>
      <c r="T2" s="3465"/>
    </row>
    <row r="3" spans="1:20" ht="34.5" customHeight="1">
      <c r="A3" s="9"/>
      <c r="B3" s="3477" t="s">
        <v>1492</v>
      </c>
      <c r="C3" s="3477"/>
      <c r="D3" s="1422" t="s">
        <v>1595</v>
      </c>
      <c r="E3" s="1397"/>
      <c r="F3" s="1813" t="str">
        <f>MENU!$AC$9</f>
        <v>Thứ 5,</v>
      </c>
      <c r="G3" s="3480" t="str">
        <f>MENU!$AD$9</f>
        <v>2024/08/01</v>
      </c>
      <c r="H3" s="3480"/>
      <c r="I3" s="27"/>
      <c r="J3" s="27"/>
      <c r="K3" s="27"/>
      <c r="L3" s="28"/>
      <c r="M3" s="28"/>
      <c r="N3" s="28"/>
      <c r="O3" s="28"/>
      <c r="P3" s="28"/>
      <c r="Q3" s="3414" t="str">
        <f>'3.XT-C TT(CA2)'!S3</f>
        <v>Trang</v>
      </c>
      <c r="R3" s="3415"/>
      <c r="S3" s="3466"/>
      <c r="T3" s="3466"/>
    </row>
    <row r="4" spans="1:20" s="61" customFormat="1" ht="41.25" customHeight="1">
      <c r="A4" s="3431" t="s">
        <v>7</v>
      </c>
      <c r="B4" s="3143" t="s">
        <v>75</v>
      </c>
      <c r="C4" s="3144"/>
      <c r="D4" s="3144"/>
      <c r="E4" s="3145"/>
      <c r="F4" s="3395" t="s">
        <v>123</v>
      </c>
      <c r="G4" s="3180" t="s">
        <v>1296</v>
      </c>
      <c r="H4" s="3185" t="s">
        <v>1289</v>
      </c>
      <c r="I4" s="3201">
        <v>0.80208333333333337</v>
      </c>
      <c r="J4" s="3199"/>
      <c r="K4" s="3199"/>
      <c r="L4" s="3200"/>
      <c r="M4" s="3481">
        <v>0.96875</v>
      </c>
      <c r="N4" s="3199"/>
      <c r="O4" s="3199"/>
      <c r="P4" s="3200"/>
      <c r="Q4" s="3198">
        <v>0.13541666666666666</v>
      </c>
      <c r="R4" s="3199"/>
      <c r="S4" s="3199"/>
      <c r="T4" s="3200"/>
    </row>
    <row r="5" spans="1:20" s="61" customFormat="1" ht="35.25" customHeight="1">
      <c r="A5" s="3431"/>
      <c r="B5" s="3146"/>
      <c r="C5" s="3147"/>
      <c r="D5" s="3147"/>
      <c r="E5" s="3148"/>
      <c r="F5" s="3396"/>
      <c r="G5" s="3181"/>
      <c r="H5" s="3186"/>
      <c r="I5" s="2220" t="s">
        <v>128</v>
      </c>
      <c r="J5" s="3170" t="s">
        <v>1</v>
      </c>
      <c r="K5" s="3171"/>
      <c r="L5" s="3172"/>
      <c r="M5" s="52" t="s">
        <v>128</v>
      </c>
      <c r="N5" s="3170" t="s">
        <v>1</v>
      </c>
      <c r="O5" s="3171"/>
      <c r="P5" s="3172"/>
      <c r="Q5" s="52" t="s">
        <v>128</v>
      </c>
      <c r="R5" s="3170" t="s">
        <v>1</v>
      </c>
      <c r="S5" s="3171"/>
      <c r="T5" s="3172"/>
    </row>
    <row r="6" spans="1:20" ht="36.75" customHeight="1">
      <c r="A6" s="1455">
        <v>1</v>
      </c>
      <c r="B6" s="3471" t="s">
        <v>121</v>
      </c>
      <c r="C6" s="3472"/>
      <c r="D6" s="3458" t="s">
        <v>115</v>
      </c>
      <c r="E6" s="3459"/>
      <c r="F6" s="542" t="s">
        <v>4</v>
      </c>
      <c r="G6" s="897" t="str">
        <f>'XM.GUI MAIL'!$E$99</f>
        <v>5~6</v>
      </c>
      <c r="H6" s="2202" t="str">
        <f>'XM.GUI MAIL'!$F$99</f>
        <v>(5.5± 0.5)</v>
      </c>
      <c r="I6" s="2211" t="str">
        <f>'XM.GUI MAIL'!AD99</f>
        <v/>
      </c>
      <c r="J6" s="816" t="s">
        <v>8</v>
      </c>
      <c r="K6" s="817" t="str">
        <f>'XM.GUI MAIL'!AG99</f>
        <v/>
      </c>
      <c r="L6" s="66" t="s">
        <v>9</v>
      </c>
      <c r="M6" s="53" t="str">
        <f>'XM.GUI MAIL'!AK99</f>
        <v/>
      </c>
      <c r="N6" s="816" t="s">
        <v>8</v>
      </c>
      <c r="O6" s="817" t="str">
        <f>'XM.GUI MAIL'!AN99</f>
        <v/>
      </c>
      <c r="P6" s="66" t="s">
        <v>9</v>
      </c>
      <c r="Q6" s="53" t="str">
        <f>'XM.GUI MAIL'!AR99</f>
        <v/>
      </c>
      <c r="R6" s="62" t="s">
        <v>8</v>
      </c>
      <c r="S6" s="817" t="str">
        <f>'XM.GUI MAIL'!AU99</f>
        <v/>
      </c>
      <c r="T6" s="64" t="s">
        <v>9</v>
      </c>
    </row>
    <row r="7" spans="1:20" ht="36.75" customHeight="1">
      <c r="A7" s="1455">
        <v>2</v>
      </c>
      <c r="B7" s="3473"/>
      <c r="C7" s="3474"/>
      <c r="D7" s="3458" t="s">
        <v>99</v>
      </c>
      <c r="E7" s="3459"/>
      <c r="F7" s="542" t="s">
        <v>4</v>
      </c>
      <c r="G7" s="897" t="str">
        <f>'XM.GUI MAIL'!$E$100</f>
        <v>130~140</v>
      </c>
      <c r="H7" s="2202" t="str">
        <f>'XM.GUI MAIL'!$F$100</f>
        <v>(135 ± 5)</v>
      </c>
      <c r="I7" s="2211">
        <f>'XM.GUI MAIL'!AD100</f>
        <v>0</v>
      </c>
      <c r="J7" s="816" t="s">
        <v>8</v>
      </c>
      <c r="K7" s="817" t="str">
        <f>'XM.GUI MAIL'!AG100</f>
        <v/>
      </c>
      <c r="L7" s="66" t="s">
        <v>980</v>
      </c>
      <c r="M7" s="53">
        <f>'XM.GUI MAIL'!AK100</f>
        <v>0</v>
      </c>
      <c r="N7" s="816" t="s">
        <v>8</v>
      </c>
      <c r="O7" s="817" t="str">
        <f>'XM.GUI MAIL'!AN100</f>
        <v/>
      </c>
      <c r="P7" s="66" t="s">
        <v>980</v>
      </c>
      <c r="Q7" s="53">
        <f>'XM.GUI MAIL'!AR100</f>
        <v>0</v>
      </c>
      <c r="R7" s="62" t="s">
        <v>8</v>
      </c>
      <c r="S7" s="817" t="str">
        <f>'XM.GUI MAIL'!AU100</f>
        <v/>
      </c>
      <c r="T7" s="64" t="s">
        <v>980</v>
      </c>
    </row>
    <row r="8" spans="1:20" ht="36.75" customHeight="1">
      <c r="A8" s="1455">
        <v>3</v>
      </c>
      <c r="B8" s="3292" t="s">
        <v>122</v>
      </c>
      <c r="C8" s="3294"/>
      <c r="D8" s="3458" t="s">
        <v>5</v>
      </c>
      <c r="E8" s="3459"/>
      <c r="F8" s="76" t="s">
        <v>5</v>
      </c>
      <c r="G8" s="897" t="str">
        <f>'XM.GUI MAIL'!$E$101</f>
        <v>3.0-4.5</v>
      </c>
      <c r="H8" s="2202" t="str">
        <f>'XM.GUI MAIL'!$F$101</f>
        <v>(4.3±0.2)</v>
      </c>
      <c r="I8" s="2225">
        <f>'XM.GUI MAIL'!AD101</f>
        <v>0</v>
      </c>
      <c r="J8" s="816" t="s">
        <v>8</v>
      </c>
      <c r="K8" s="817"/>
      <c r="L8" s="66"/>
      <c r="M8" s="59">
        <f>'XM.GUI MAIL'!AK101</f>
        <v>0</v>
      </c>
      <c r="N8" s="816" t="s">
        <v>8</v>
      </c>
      <c r="O8" s="817">
        <f>'XM.GUI MAIL'!AN101</f>
        <v>0</v>
      </c>
      <c r="P8" s="66"/>
      <c r="Q8" s="59">
        <f>'XM.GUI MAIL'!AR101</f>
        <v>0</v>
      </c>
      <c r="R8" s="62" t="s">
        <v>8</v>
      </c>
      <c r="S8" s="817"/>
      <c r="T8" s="64"/>
    </row>
    <row r="9" spans="1:20" ht="41.25" customHeight="1">
      <c r="A9" s="1455">
        <v>4</v>
      </c>
      <c r="B9" s="3457" t="s">
        <v>1631</v>
      </c>
      <c r="C9" s="3457"/>
      <c r="D9" s="3457"/>
      <c r="E9" s="3457"/>
      <c r="F9" s="2805" t="s">
        <v>54</v>
      </c>
      <c r="G9" s="2806">
        <f>'XM.GUI MAIL'!$E$102</f>
        <v>0</v>
      </c>
      <c r="H9" s="2807">
        <f>'XM.GUI MAIL'!$F$102</f>
        <v>0</v>
      </c>
      <c r="I9" s="8" t="str">
        <f>'XM.GUI MAIL'!AD102</f>
        <v/>
      </c>
      <c r="J9" s="816" t="s">
        <v>8</v>
      </c>
      <c r="K9" s="817" t="str">
        <f>'XM.GUI MAIL'!AG102</f>
        <v/>
      </c>
      <c r="L9" s="66" t="s">
        <v>980</v>
      </c>
      <c r="M9" s="8" t="str">
        <f>'XM.GUI MAIL'!AK102</f>
        <v/>
      </c>
      <c r="N9" s="816" t="s">
        <v>8</v>
      </c>
      <c r="O9" s="817" t="str">
        <f>'XM.GUI MAIL'!AN102</f>
        <v/>
      </c>
      <c r="P9" s="66" t="s">
        <v>980</v>
      </c>
      <c r="Q9" s="8" t="str">
        <f>'XM.GUI MAIL'!AR102</f>
        <v/>
      </c>
      <c r="R9" s="62" t="s">
        <v>8</v>
      </c>
      <c r="S9" s="817" t="str">
        <f>'XM.GUI MAIL'!AU102</f>
        <v/>
      </c>
      <c r="T9" s="64" t="s">
        <v>980</v>
      </c>
    </row>
    <row r="10" spans="1:20" ht="41.25" customHeight="1">
      <c r="A10" s="1594"/>
      <c r="B10" s="3478" t="s">
        <v>136</v>
      </c>
      <c r="C10" s="3478"/>
      <c r="D10" s="3478"/>
      <c r="E10" s="3478"/>
      <c r="F10" s="3478"/>
      <c r="G10" s="3478"/>
      <c r="H10" s="3478"/>
      <c r="I10" s="3478"/>
      <c r="J10" s="3478"/>
      <c r="K10" s="3478"/>
      <c r="L10" s="3478"/>
      <c r="M10" s="3478"/>
      <c r="N10" s="3478"/>
      <c r="O10" s="3478"/>
      <c r="P10" s="3478"/>
      <c r="Q10" s="3478"/>
      <c r="R10" s="3478"/>
      <c r="S10" s="3478"/>
      <c r="T10" s="3478"/>
    </row>
    <row r="11" spans="1:20" ht="47.25" customHeight="1">
      <c r="A11" s="1594" t="s">
        <v>7</v>
      </c>
      <c r="B11" s="3417" t="s">
        <v>21</v>
      </c>
      <c r="C11" s="3418"/>
      <c r="D11" s="3418"/>
      <c r="E11" s="3419"/>
      <c r="F11" s="74" t="s">
        <v>22</v>
      </c>
      <c r="G11" s="975" t="s">
        <v>1296</v>
      </c>
      <c r="H11" s="2204" t="s">
        <v>1289</v>
      </c>
      <c r="I11" s="3293" t="s">
        <v>24</v>
      </c>
      <c r="J11" s="3294"/>
      <c r="K11" s="3292" t="s">
        <v>25</v>
      </c>
      <c r="L11" s="3294"/>
      <c r="M11" s="3292" t="s">
        <v>24</v>
      </c>
      <c r="N11" s="3294"/>
      <c r="O11" s="3292" t="s">
        <v>25</v>
      </c>
      <c r="P11" s="3294"/>
      <c r="Q11" s="3292" t="s">
        <v>24</v>
      </c>
      <c r="R11" s="3294"/>
      <c r="S11" s="3292" t="s">
        <v>25</v>
      </c>
      <c r="T11" s="3294"/>
    </row>
    <row r="12" spans="1:20" ht="43.5" customHeight="1">
      <c r="A12" s="76">
        <v>4</v>
      </c>
      <c r="B12" s="3292" t="s">
        <v>116</v>
      </c>
      <c r="C12" s="3293"/>
      <c r="D12" s="3293"/>
      <c r="E12" s="3294"/>
      <c r="F12" s="11" t="s">
        <v>26</v>
      </c>
      <c r="G12" s="1008" t="str">
        <f>'XM.GUI MAIL'!$E$117</f>
        <v>24~28</v>
      </c>
      <c r="H12" s="2206" t="str">
        <f>'XM.GUI MAIL'!$F$117</f>
        <v>(26±2)</v>
      </c>
      <c r="I12" s="3357">
        <f>'XM.GUI MAIL'!AD117</f>
        <v>0</v>
      </c>
      <c r="J12" s="3357"/>
      <c r="K12" s="3295">
        <f>'XM.GUI MAIL'!AG117</f>
        <v>0</v>
      </c>
      <c r="L12" s="3357"/>
      <c r="M12" s="3295">
        <f>'XM.GUI MAIL'!AK117</f>
        <v>0</v>
      </c>
      <c r="N12" s="3357"/>
      <c r="O12" s="3295">
        <f>'XM.GUI MAIL'!AN117</f>
        <v>0</v>
      </c>
      <c r="P12" s="3357"/>
      <c r="Q12" s="3295">
        <f>'XM.GUI MAIL'!AR117</f>
        <v>0</v>
      </c>
      <c r="R12" s="3357"/>
      <c r="S12" s="3283">
        <f>'XM.GUI MAIL'!AU117</f>
        <v>0</v>
      </c>
      <c r="T12" s="3283"/>
    </row>
    <row r="13" spans="1:20" ht="43.5" customHeight="1">
      <c r="A13" s="76">
        <v>5</v>
      </c>
      <c r="B13" s="3292" t="s">
        <v>120</v>
      </c>
      <c r="C13" s="3293"/>
      <c r="D13" s="3293"/>
      <c r="E13" s="3294"/>
      <c r="F13" s="11" t="s">
        <v>26</v>
      </c>
      <c r="G13" s="1008" t="str">
        <f>'XM.GUI MAIL'!$E$118</f>
        <v>20~30</v>
      </c>
      <c r="H13" s="2206" t="str">
        <f>'XM.GUI MAIL'!$F$118</f>
        <v>(25±5)</v>
      </c>
      <c r="I13" s="3357">
        <f>'XM.GUI MAIL'!AD118</f>
        <v>0</v>
      </c>
      <c r="J13" s="3357"/>
      <c r="K13" s="3295">
        <f>'XM.GUI MAIL'!AG118</f>
        <v>0</v>
      </c>
      <c r="L13" s="3357"/>
      <c r="M13" s="3295">
        <f>'XM.GUI MAIL'!AK118</f>
        <v>0</v>
      </c>
      <c r="N13" s="3357"/>
      <c r="O13" s="3295">
        <f>'XM.GUI MAIL'!AN118</f>
        <v>0</v>
      </c>
      <c r="P13" s="3357"/>
      <c r="Q13" s="3295">
        <f>'XM.GUI MAIL'!AR118</f>
        <v>0</v>
      </c>
      <c r="R13" s="3357"/>
      <c r="S13" s="3283">
        <f>'XM.GUI MAIL'!AU118</f>
        <v>0</v>
      </c>
      <c r="T13" s="3283"/>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057"/>
      <c r="B15" s="2058"/>
      <c r="C15" s="2058"/>
      <c r="D15" s="2058"/>
      <c r="E15" s="2058"/>
      <c r="F15" s="2059"/>
      <c r="G15" s="2060"/>
      <c r="H15" s="2060"/>
      <c r="I15" s="2058"/>
      <c r="J15" s="2058"/>
      <c r="K15" s="2058"/>
      <c r="L15" s="2058"/>
      <c r="M15" s="2058"/>
      <c r="N15" s="2058"/>
      <c r="O15" s="2058"/>
      <c r="P15" s="2058"/>
      <c r="Q15" s="2058"/>
      <c r="R15" s="2058"/>
      <c r="S15" s="2058"/>
      <c r="T15" s="2058"/>
    </row>
    <row r="16" spans="1:20" ht="48" customHeight="1">
      <c r="A16" s="3470" t="s">
        <v>1437</v>
      </c>
      <c r="B16" s="3470"/>
      <c r="C16" s="3470"/>
      <c r="D16" s="3470"/>
      <c r="E16" s="3470"/>
      <c r="F16" s="3470"/>
      <c r="G16" s="3470"/>
      <c r="H16" s="3470"/>
      <c r="I16" s="3470"/>
      <c r="J16" s="3470"/>
      <c r="K16" s="3470"/>
      <c r="L16" s="3470"/>
      <c r="M16" s="3470"/>
      <c r="N16" s="3470"/>
      <c r="O16" s="3470"/>
      <c r="P16" s="3470"/>
      <c r="Q16" s="3470"/>
      <c r="R16" s="3470"/>
      <c r="S16" s="3470"/>
      <c r="T16" s="3470"/>
    </row>
    <row r="17" spans="1:20" ht="24" customHeight="1"/>
    <row r="18" spans="1:20" ht="36" customHeight="1">
      <c r="A18" s="3431" t="s">
        <v>7</v>
      </c>
      <c r="B18" s="3143" t="s">
        <v>75</v>
      </c>
      <c r="C18" s="3144"/>
      <c r="D18" s="3144"/>
      <c r="E18" s="3145"/>
      <c r="F18" s="3395" t="s">
        <v>123</v>
      </c>
      <c r="G18" s="3180" t="s">
        <v>1296</v>
      </c>
      <c r="H18" s="3468" t="s">
        <v>1289</v>
      </c>
      <c r="I18" s="3198">
        <v>0.80208333333333337</v>
      </c>
      <c r="J18" s="3199"/>
      <c r="K18" s="3199"/>
      <c r="L18" s="3200"/>
      <c r="M18" s="3198">
        <v>0.96875</v>
      </c>
      <c r="N18" s="3199"/>
      <c r="O18" s="3199"/>
      <c r="P18" s="3200"/>
      <c r="Q18" s="3198">
        <v>0.13541666666666666</v>
      </c>
      <c r="R18" s="3199"/>
      <c r="S18" s="3199"/>
      <c r="T18" s="3200"/>
    </row>
    <row r="19" spans="1:20" ht="60.75" customHeight="1">
      <c r="A19" s="3431"/>
      <c r="B19" s="3146"/>
      <c r="C19" s="3147"/>
      <c r="D19" s="3147"/>
      <c r="E19" s="3148"/>
      <c r="F19" s="3396"/>
      <c r="G19" s="3181"/>
      <c r="H19" s="3469"/>
      <c r="I19" s="3462" t="s">
        <v>1433</v>
      </c>
      <c r="J19" s="3463"/>
      <c r="K19" s="3460" t="s">
        <v>1355</v>
      </c>
      <c r="L19" s="3461"/>
      <c r="M19" s="3462" t="s">
        <v>1433</v>
      </c>
      <c r="N19" s="3463"/>
      <c r="O19" s="3460" t="s">
        <v>1355</v>
      </c>
      <c r="P19" s="3461"/>
      <c r="Q19" s="3462" t="s">
        <v>1433</v>
      </c>
      <c r="R19" s="3463"/>
      <c r="S19" s="3460" t="s">
        <v>1355</v>
      </c>
      <c r="T19" s="3461"/>
    </row>
    <row r="20" spans="1:20" ht="54" customHeight="1">
      <c r="A20" s="1455">
        <v>1</v>
      </c>
      <c r="B20" s="3471" t="s">
        <v>121</v>
      </c>
      <c r="C20" s="3472"/>
      <c r="D20" s="3458" t="s">
        <v>115</v>
      </c>
      <c r="E20" s="3459"/>
      <c r="F20" s="542" t="s">
        <v>4</v>
      </c>
      <c r="G20" s="897" t="str">
        <f>'XM.GUI MAIL'!$E$99</f>
        <v>5~6</v>
      </c>
      <c r="H20" s="897" t="str">
        <f>'XM.GUI MAIL'!$F$99</f>
        <v>(5.5± 0.5)</v>
      </c>
      <c r="I20" s="2020"/>
      <c r="J20" s="1808" t="s">
        <v>9</v>
      </c>
      <c r="K20" s="1809"/>
      <c r="L20" s="1810" t="s">
        <v>4</v>
      </c>
      <c r="M20" s="2020"/>
      <c r="N20" s="1808" t="s">
        <v>9</v>
      </c>
      <c r="O20" s="1809"/>
      <c r="P20" s="1810" t="s">
        <v>4</v>
      </c>
      <c r="Q20" s="2020"/>
      <c r="R20" s="1808" t="s">
        <v>9</v>
      </c>
      <c r="S20" s="1809"/>
      <c r="T20" s="1810" t="s">
        <v>4</v>
      </c>
    </row>
    <row r="21" spans="1:20" ht="54" customHeight="1">
      <c r="A21" s="1455">
        <v>2</v>
      </c>
      <c r="B21" s="3473"/>
      <c r="C21" s="3474"/>
      <c r="D21" s="3458" t="s">
        <v>99</v>
      </c>
      <c r="E21" s="3459"/>
      <c r="F21" s="542" t="s">
        <v>4</v>
      </c>
      <c r="G21" s="897" t="str">
        <f>'XM.GUI MAIL'!$E$100</f>
        <v>130~140</v>
      </c>
      <c r="H21" s="897" t="str">
        <f>'XM.GUI MAIL'!$F$100</f>
        <v>(135 ± 5)</v>
      </c>
      <c r="I21" s="2020"/>
      <c r="J21" s="1808" t="s">
        <v>976</v>
      </c>
      <c r="K21" s="1809"/>
      <c r="L21" s="1810" t="s">
        <v>4</v>
      </c>
      <c r="M21" s="2020"/>
      <c r="N21" s="1808" t="s">
        <v>976</v>
      </c>
      <c r="O21" s="1809"/>
      <c r="P21" s="1810" t="s">
        <v>4</v>
      </c>
      <c r="Q21" s="2020"/>
      <c r="R21" s="1808" t="s">
        <v>976</v>
      </c>
      <c r="S21" s="1809"/>
      <c r="T21" s="1810" t="s">
        <v>4</v>
      </c>
    </row>
    <row r="22" spans="1:20" ht="54" customHeight="1">
      <c r="A22" s="1455">
        <v>3</v>
      </c>
      <c r="B22" s="3292" t="s">
        <v>122</v>
      </c>
      <c r="C22" s="3294"/>
      <c r="D22" s="3458" t="s">
        <v>5</v>
      </c>
      <c r="E22" s="3459"/>
      <c r="F22" s="76" t="s">
        <v>5</v>
      </c>
      <c r="G22" s="897" t="str">
        <f>'XM.GUI MAIL'!$E$101</f>
        <v>3.0-4.5</v>
      </c>
      <c r="H22" s="897" t="str">
        <f>'XM.GUI MAIL'!$F$101</f>
        <v>(4.3±0.2)</v>
      </c>
      <c r="I22" s="2020"/>
      <c r="J22" s="1809"/>
      <c r="K22" s="1809"/>
      <c r="L22" s="1806" t="s">
        <v>5</v>
      </c>
      <c r="M22" s="2020"/>
      <c r="N22" s="1809"/>
      <c r="O22" s="1809"/>
      <c r="P22" s="1806" t="s">
        <v>5</v>
      </c>
      <c r="Q22" s="2020"/>
      <c r="R22" s="1809"/>
      <c r="S22" s="1809"/>
      <c r="T22" s="1806" t="s">
        <v>5</v>
      </c>
    </row>
    <row r="23" spans="1:20" ht="54.75" customHeight="1">
      <c r="A23" s="1455">
        <v>4</v>
      </c>
      <c r="B23" s="3457" t="s">
        <v>1631</v>
      </c>
      <c r="C23" s="3457"/>
      <c r="D23" s="3457"/>
      <c r="E23" s="3457"/>
      <c r="F23" s="2805" t="s">
        <v>54</v>
      </c>
      <c r="G23" s="2806">
        <f>'XM.GUI MAIL'!$E$102</f>
        <v>0</v>
      </c>
      <c r="H23" s="897">
        <f>'XM.GUI MAIL'!$F$102</f>
        <v>0</v>
      </c>
      <c r="I23" s="2808"/>
      <c r="J23" s="1808" t="s">
        <v>976</v>
      </c>
      <c r="K23" s="1809"/>
      <c r="L23" s="1810" t="s">
        <v>54</v>
      </c>
      <c r="M23" s="2020"/>
      <c r="N23" s="1808" t="s">
        <v>976</v>
      </c>
      <c r="O23" s="1809"/>
      <c r="P23" s="1810" t="s">
        <v>54</v>
      </c>
      <c r="Q23" s="2020"/>
      <c r="R23" s="1808" t="s">
        <v>976</v>
      </c>
      <c r="S23" s="1809"/>
      <c r="T23" s="1810" t="s">
        <v>54</v>
      </c>
    </row>
  </sheetData>
  <sheetProtection selectLockedCells="1"/>
  <mergeCells count="68">
    <mergeCell ref="M18:P18"/>
    <mergeCell ref="M19:N19"/>
    <mergeCell ref="O19:P19"/>
    <mergeCell ref="A1:P1"/>
    <mergeCell ref="D21:E21"/>
    <mergeCell ref="B20:C21"/>
    <mergeCell ref="D20:E20"/>
    <mergeCell ref="A16:T16"/>
    <mergeCell ref="A18:A19"/>
    <mergeCell ref="B18:E19"/>
    <mergeCell ref="F18:F19"/>
    <mergeCell ref="G18:G19"/>
    <mergeCell ref="H18:H19"/>
    <mergeCell ref="I18:L18"/>
    <mergeCell ref="Q18:T18"/>
    <mergeCell ref="I19:J19"/>
    <mergeCell ref="B22:C22"/>
    <mergeCell ref="D22:E22"/>
    <mergeCell ref="A4:A5"/>
    <mergeCell ref="B4:E5"/>
    <mergeCell ref="B10:T10"/>
    <mergeCell ref="B11:E11"/>
    <mergeCell ref="I11:J11"/>
    <mergeCell ref="K11:L11"/>
    <mergeCell ref="Q11:R11"/>
    <mergeCell ref="S11:T11"/>
    <mergeCell ref="B6:C7"/>
    <mergeCell ref="D6:E6"/>
    <mergeCell ref="F4:F5"/>
    <mergeCell ref="K19:L19"/>
    <mergeCell ref="Q19:R19"/>
    <mergeCell ref="S19:T19"/>
    <mergeCell ref="M11:N11"/>
    <mergeCell ref="O11:P11"/>
    <mergeCell ref="Q2:R2"/>
    <mergeCell ref="S2:T2"/>
    <mergeCell ref="Q3:R3"/>
    <mergeCell ref="S3:T3"/>
    <mergeCell ref="Q4:T4"/>
    <mergeCell ref="R5:T5"/>
    <mergeCell ref="M4:P4"/>
    <mergeCell ref="N5:P5"/>
    <mergeCell ref="G3:H3"/>
    <mergeCell ref="B3:C3"/>
    <mergeCell ref="A2:P2"/>
    <mergeCell ref="D7:E7"/>
    <mergeCell ref="B8:C8"/>
    <mergeCell ref="D8:E8"/>
    <mergeCell ref="G4:G5"/>
    <mergeCell ref="H4:H5"/>
    <mergeCell ref="I4:L4"/>
    <mergeCell ref="J5:L5"/>
    <mergeCell ref="B9:E9"/>
    <mergeCell ref="B23:E23"/>
    <mergeCell ref="S13:T13"/>
    <mergeCell ref="M13:N13"/>
    <mergeCell ref="O13:P13"/>
    <mergeCell ref="B13:E13"/>
    <mergeCell ref="I13:J13"/>
    <mergeCell ref="K13:L13"/>
    <mergeCell ref="Q13:R13"/>
    <mergeCell ref="B12:E12"/>
    <mergeCell ref="I12:J12"/>
    <mergeCell ref="K12:L12"/>
    <mergeCell ref="Q12:R12"/>
    <mergeCell ref="S12:T12"/>
    <mergeCell ref="M12:N12"/>
    <mergeCell ref="O12:P12"/>
  </mergeCells>
  <conditionalFormatting sqref="I6 Q6 M6">
    <cfRule type="expression" dxfId="1438" priority="61" stopIfTrue="1">
      <formula>I6&gt;6</formula>
    </cfRule>
    <cfRule type="expression" dxfId="1437" priority="62" stopIfTrue="1">
      <formula>I6&lt;5</formula>
    </cfRule>
  </conditionalFormatting>
  <conditionalFormatting sqref="I7 Q7 M7">
    <cfRule type="expression" dxfId="1436" priority="59" stopIfTrue="1">
      <formula>I7&gt;140</formula>
    </cfRule>
    <cfRule type="expression" dxfId="1435" priority="60" stopIfTrue="1">
      <formula>I7&lt;130</formula>
    </cfRule>
  </conditionalFormatting>
  <conditionalFormatting sqref="I8 M8 Q8">
    <cfRule type="expression" dxfId="1434" priority="57" stopIfTrue="1">
      <formula>I8&gt;4.5</formula>
    </cfRule>
    <cfRule type="expression" dxfId="1433" priority="58" stopIfTrue="1">
      <formula>I8&lt;3</formula>
    </cfRule>
  </conditionalFormatting>
  <conditionalFormatting sqref="I13 K13 Q13 S13">
    <cfRule type="expression" dxfId="1432" priority="55">
      <formula>I13&lt;20</formula>
    </cfRule>
    <cfRule type="expression" dxfId="1431" priority="56">
      <formula>I13&gt;30</formula>
    </cfRule>
  </conditionalFormatting>
  <conditionalFormatting sqref="I12 K12 Q12 S12 M12 O12">
    <cfRule type="expression" dxfId="1430" priority="53">
      <formula>I12&lt;24</formula>
    </cfRule>
    <cfRule type="expression" dxfId="1429" priority="54">
      <formula>I12&gt;28</formula>
    </cfRule>
  </conditionalFormatting>
  <conditionalFormatting sqref="K13 Q13 S13 I13">
    <cfRule type="expression" dxfId="1428" priority="43">
      <formula>I13&lt;20</formula>
    </cfRule>
    <cfRule type="expression" dxfId="1427" priority="44">
      <formula>I13&gt;30</formula>
    </cfRule>
  </conditionalFormatting>
  <conditionalFormatting sqref="M13 O13">
    <cfRule type="expression" dxfId="1426" priority="13">
      <formula>M13&lt;20</formula>
    </cfRule>
    <cfRule type="expression" dxfId="1425" priority="14">
      <formula>M13&gt;30</formula>
    </cfRule>
  </conditionalFormatting>
  <conditionalFormatting sqref="O13 M13">
    <cfRule type="expression" dxfId="1424" priority="7">
      <formula>M13&lt;20</formula>
    </cfRule>
    <cfRule type="expression" dxfId="1423" priority="8">
      <formula>M13&gt;30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codeName="Sheet14">
    <tabColor rgb="FFFFC000"/>
  </sheetPr>
  <dimension ref="A1:K226"/>
  <sheetViews>
    <sheetView workbookViewId="0">
      <selection activeCell="D5" sqref="D5:I226"/>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259" t="str">
        <f>MENU!$AC$9</f>
        <v>Thứ 5,</v>
      </c>
      <c r="B1" s="2022" t="str">
        <f>MENU!$AD$9</f>
        <v>2024/08/01</v>
      </c>
      <c r="C1" s="1989"/>
      <c r="D1" s="1989"/>
      <c r="E1" s="1989"/>
    </row>
    <row r="2" spans="1:9" ht="26.25" customHeight="1"/>
    <row r="3" spans="1:9" ht="36" customHeight="1">
      <c r="A3" s="156"/>
      <c r="B3" s="249" t="s">
        <v>214</v>
      </c>
      <c r="C3" s="157"/>
      <c r="D3" s="141" t="s">
        <v>154</v>
      </c>
      <c r="E3" s="142"/>
      <c r="F3" s="142"/>
      <c r="G3" s="142"/>
      <c r="H3" s="142"/>
      <c r="I3" s="143"/>
    </row>
    <row r="4" spans="1:9" ht="21.75" customHeight="1" thickBot="1">
      <c r="A4" s="177"/>
      <c r="B4" s="157"/>
      <c r="C4" s="178"/>
      <c r="D4" s="152">
        <v>0.25</v>
      </c>
      <c r="E4" s="152">
        <v>0.41666666666666669</v>
      </c>
      <c r="F4" s="152">
        <v>0.58333333333333337</v>
      </c>
      <c r="G4" s="152">
        <v>0.75</v>
      </c>
      <c r="H4" s="152">
        <v>0.91666666666666663</v>
      </c>
      <c r="I4" s="153">
        <v>8.3333333333333329E-2</v>
      </c>
    </row>
    <row r="5" spans="1:9" ht="27" customHeight="1">
      <c r="A5" s="3483">
        <v>1</v>
      </c>
      <c r="B5" s="3485" t="s">
        <v>130</v>
      </c>
      <c r="C5" s="176" t="s">
        <v>99</v>
      </c>
      <c r="D5" s="180">
        <f>'1. XL-1E kh'!I6</f>
        <v>0</v>
      </c>
      <c r="E5" s="181">
        <f>'1. XL-1E kh'!Q6</f>
        <v>26.6</v>
      </c>
      <c r="F5" s="181">
        <f>'1. XL-1E kh'!Y6</f>
        <v>32.799999999999997</v>
      </c>
      <c r="G5" s="181">
        <f>'1. XL-1E kh'!I46</f>
        <v>33.6</v>
      </c>
      <c r="H5" s="181">
        <f>'1. XL-1E kh'!Q46</f>
        <v>32</v>
      </c>
      <c r="I5" s="182">
        <f>'1. XL-1E kh'!Y46</f>
        <v>32.799999999999997</v>
      </c>
    </row>
    <row r="6" spans="1:9" ht="21.75" hidden="1" customHeight="1">
      <c r="A6" s="3484"/>
      <c r="B6" s="3486"/>
      <c r="C6" s="179" t="s">
        <v>127</v>
      </c>
      <c r="D6" s="183">
        <f>'1. XL-1E kh'!I8</f>
        <v>0</v>
      </c>
      <c r="E6" s="134">
        <f>'1. XL-1E kh'!Q8</f>
        <v>0</v>
      </c>
      <c r="F6" s="134">
        <f>'1. XL-1E kh'!Y8</f>
        <v>0</v>
      </c>
      <c r="G6" s="134">
        <f>'1. XL-1E kh'!I48</f>
        <v>0</v>
      </c>
      <c r="H6" s="134">
        <f>'1. XL-1E kh'!Q48</f>
        <v>0</v>
      </c>
      <c r="I6" s="184">
        <f>'1. XL-1E kh'!Y48</f>
        <v>0</v>
      </c>
    </row>
    <row r="7" spans="1:9" ht="21.75" hidden="1" customHeight="1">
      <c r="A7" s="3378">
        <v>2</v>
      </c>
      <c r="B7" s="3487" t="s">
        <v>144</v>
      </c>
      <c r="C7" s="159" t="s">
        <v>99</v>
      </c>
      <c r="D7" s="185">
        <f>'1. XL-1E kh'!I9</f>
        <v>0</v>
      </c>
      <c r="E7" s="133">
        <f>'1. XL-1E kh'!Q9</f>
        <v>31</v>
      </c>
      <c r="F7" s="133">
        <f>'1. XL-1E kh'!Y9</f>
        <v>30.2</v>
      </c>
      <c r="G7" s="133">
        <f>'1. XL-1E kh'!I49</f>
        <v>31.2</v>
      </c>
      <c r="H7" s="133">
        <f>'1. XL-1E kh'!Q49</f>
        <v>32</v>
      </c>
      <c r="I7" s="186">
        <f>'1. XL-1E kh'!Y49</f>
        <v>32</v>
      </c>
    </row>
    <row r="8" spans="1:9" ht="21.75" hidden="1" customHeight="1">
      <c r="A8" s="3377"/>
      <c r="B8" s="3488"/>
      <c r="C8" s="136" t="s">
        <v>127</v>
      </c>
      <c r="D8" s="185">
        <f>'1. XL-1E kh'!I11</f>
        <v>0</v>
      </c>
      <c r="E8" s="133">
        <f>'1. XL-1E kh'!Q11</f>
        <v>0</v>
      </c>
      <c r="F8" s="133">
        <f>'1. XL-1E kh'!Y11</f>
        <v>0</v>
      </c>
      <c r="G8" s="133">
        <f>'1. XL-1E kh'!I51</f>
        <v>0</v>
      </c>
      <c r="H8" s="133">
        <f>'1. XL-1E kh'!Q51</f>
        <v>0</v>
      </c>
      <c r="I8" s="186">
        <f>'1. XL-1E kh'!Y51</f>
        <v>0</v>
      </c>
    </row>
    <row r="9" spans="1:9" ht="21.75" hidden="1" customHeight="1">
      <c r="A9" s="3376">
        <v>3</v>
      </c>
      <c r="B9" s="3493" t="s">
        <v>142</v>
      </c>
      <c r="C9" s="135" t="s">
        <v>99</v>
      </c>
      <c r="D9" s="185">
        <f>'1. XL-1E kh'!I12</f>
        <v>0</v>
      </c>
      <c r="E9" s="133">
        <f>'1. XL-1E kh'!Q12</f>
        <v>77</v>
      </c>
      <c r="F9" s="133">
        <f>'1. XL-1E kh'!Y12</f>
        <v>78</v>
      </c>
      <c r="G9" s="133">
        <f>'1. XL-1E kh'!I52</f>
        <v>75.2</v>
      </c>
      <c r="H9" s="133">
        <f>'1. XL-1E kh'!Q52</f>
        <v>74.5</v>
      </c>
      <c r="I9" s="186">
        <f>'1. XL-1E kh'!Y52</f>
        <v>74</v>
      </c>
    </row>
    <row r="10" spans="1:9" ht="21.75" hidden="1" customHeight="1">
      <c r="A10" s="3377"/>
      <c r="B10" s="3488"/>
      <c r="C10" s="136" t="s">
        <v>127</v>
      </c>
      <c r="D10" s="185">
        <f>'1. XL-1E kh'!I13</f>
        <v>0</v>
      </c>
      <c r="E10" s="133">
        <f>'1. XL-1E kh'!Q13</f>
        <v>0</v>
      </c>
      <c r="F10" s="133">
        <f>'1. XL-1E kh'!Y13</f>
        <v>0</v>
      </c>
      <c r="G10" s="133">
        <f>'1. XL-1E kh'!I53</f>
        <v>0</v>
      </c>
      <c r="H10" s="133">
        <f>'1. XL-1E kh'!Q53</f>
        <v>0</v>
      </c>
      <c r="I10" s="186">
        <f>'1. XL-1E kh'!Y53</f>
        <v>0</v>
      </c>
    </row>
    <row r="11" spans="1:9" ht="21.75" hidden="1" customHeight="1">
      <c r="A11" s="3376">
        <v>4</v>
      </c>
      <c r="B11" s="3493" t="s">
        <v>143</v>
      </c>
      <c r="C11" s="135" t="s">
        <v>99</v>
      </c>
      <c r="D11" s="185">
        <f>'1. XL-1E kh'!I14</f>
        <v>0</v>
      </c>
      <c r="E11" s="133">
        <f>'1. XL-1E kh'!Q14</f>
        <v>72.599999999999994</v>
      </c>
      <c r="F11" s="133">
        <f>'1. XL-1E kh'!Y14</f>
        <v>72.400000000000006</v>
      </c>
      <c r="G11" s="133">
        <f>'1. XL-1E kh'!I54</f>
        <v>72</v>
      </c>
      <c r="H11" s="133">
        <f>'1. XL-1E kh'!Q54</f>
        <v>71</v>
      </c>
      <c r="I11" s="186">
        <f>'1. XL-1E kh'!Y54</f>
        <v>68</v>
      </c>
    </row>
    <row r="12" spans="1:9" ht="21.75" hidden="1" customHeight="1">
      <c r="A12" s="3377"/>
      <c r="B12" s="3488"/>
      <c r="C12" s="136" t="s">
        <v>127</v>
      </c>
      <c r="D12" s="185">
        <f>'1. XL-1E kh'!I15</f>
        <v>0</v>
      </c>
      <c r="E12" s="133">
        <f>'1. XL-1E kh'!Q15</f>
        <v>0</v>
      </c>
      <c r="F12" s="133">
        <f>'1. XL-1E kh'!Y15</f>
        <v>0</v>
      </c>
      <c r="G12" s="133">
        <f>'1. XL-1E kh'!I55</f>
        <v>0</v>
      </c>
      <c r="H12" s="133">
        <f>'1. XL-1E kh'!Q55</f>
        <v>0</v>
      </c>
      <c r="I12" s="186">
        <f>'1. XL-1E kh'!Y55</f>
        <v>0</v>
      </c>
    </row>
    <row r="13" spans="1:9" ht="21.75" hidden="1" customHeight="1">
      <c r="A13" s="3376">
        <v>5</v>
      </c>
      <c r="B13" s="3216" t="s">
        <v>94</v>
      </c>
      <c r="C13" s="108" t="s">
        <v>93</v>
      </c>
      <c r="D13" s="185">
        <f>'1. XL-1E kh'!I16</f>
        <v>0</v>
      </c>
      <c r="E13" s="133">
        <f>'1. XL-1E kh'!Q16</f>
        <v>133.6</v>
      </c>
      <c r="F13" s="133">
        <f>'1. XL-1E kh'!Y16</f>
        <v>140.80000000000001</v>
      </c>
      <c r="G13" s="133">
        <f>'1. XL-1E kh'!I56</f>
        <v>143.19999999999999</v>
      </c>
      <c r="H13" s="133">
        <f>'1. XL-1E kh'!Q56</f>
        <v>142.4</v>
      </c>
      <c r="I13" s="186">
        <f>'1. XL-1E kh'!Y56</f>
        <v>142.4</v>
      </c>
    </row>
    <row r="14" spans="1:9" ht="21.75" hidden="1" customHeight="1">
      <c r="A14" s="3377"/>
      <c r="B14" s="3217"/>
      <c r="C14" s="108" t="s">
        <v>56</v>
      </c>
      <c r="D14" s="185">
        <f>'1. XL-1E kh'!I17</f>
        <v>0</v>
      </c>
      <c r="E14" s="133">
        <f>'1. XL-1E kh'!Q17</f>
        <v>12.740000000000002</v>
      </c>
      <c r="F14" s="133">
        <f>'1. XL-1E kh'!Y17</f>
        <v>12.48</v>
      </c>
      <c r="G14" s="133">
        <f>'1. XL-1E kh'!I57</f>
        <v>11.440000000000001</v>
      </c>
      <c r="H14" s="133">
        <f>'1. XL-1E kh'!Q57</f>
        <v>10.790000000000001</v>
      </c>
      <c r="I14" s="186">
        <f>'1. XL-1E kh'!Y57</f>
        <v>10.595000000000001</v>
      </c>
    </row>
    <row r="15" spans="1:9" ht="21.75" hidden="1" customHeight="1">
      <c r="A15" s="3376">
        <v>6</v>
      </c>
      <c r="B15" s="3489" t="s">
        <v>95</v>
      </c>
      <c r="C15" s="3490"/>
      <c r="D15" s="185">
        <f>'1. XL-1E kh'!I18</f>
        <v>0</v>
      </c>
      <c r="E15" s="133">
        <f>'1. XL-1E kh'!Q18</f>
        <v>15.827338129496402</v>
      </c>
      <c r="F15" s="133">
        <f>'1. XL-1E kh'!Y18</f>
        <v>15.827338129496402</v>
      </c>
      <c r="G15" s="133">
        <f>'1. XL-1E kh'!I58</f>
        <v>15.8</v>
      </c>
      <c r="H15" s="133">
        <f>'1. XL-1E kh'!Q58</f>
        <v>15.25179856115108</v>
      </c>
      <c r="I15" s="186">
        <f>'1. XL-1E kh'!Y58</f>
        <v>14.676258992805753</v>
      </c>
    </row>
    <row r="16" spans="1:9" ht="21.75" hidden="1" customHeight="1">
      <c r="A16" s="3377"/>
      <c r="B16" s="3491"/>
      <c r="C16" s="3392"/>
      <c r="D16" s="185">
        <f>'1. XL-1E kh'!I19</f>
        <v>0</v>
      </c>
      <c r="E16" s="133">
        <f>'1. XL-1E kh'!Q19</f>
        <v>1.63</v>
      </c>
      <c r="F16" s="133">
        <f>'1. XL-1E kh'!Y19</f>
        <v>1.64</v>
      </c>
      <c r="G16" s="133">
        <f>'1. XL-1E kh'!I59</f>
        <v>1.8</v>
      </c>
      <c r="H16" s="133">
        <f>'1. XL-1E kh'!Q59</f>
        <v>1.8</v>
      </c>
      <c r="I16" s="186">
        <f>'1. XL-1E kh'!Y59</f>
        <v>1.76</v>
      </c>
    </row>
    <row r="17" spans="1:9" ht="21.75" hidden="1" customHeight="1">
      <c r="A17" s="102">
        <v>7</v>
      </c>
      <c r="B17" s="3130" t="s">
        <v>57</v>
      </c>
      <c r="C17" s="3492"/>
      <c r="D17" s="185">
        <f>'1. XL-1E kh'!I20</f>
        <v>0</v>
      </c>
      <c r="E17" s="133">
        <f>'1. XL-1E kh'!Q20</f>
        <v>0.43343749999999998</v>
      </c>
      <c r="F17" s="133">
        <f>'1. XL-1E kh'!Y20</f>
        <v>0.47906250000000006</v>
      </c>
      <c r="G17" s="133">
        <f>'1. XL-1E kh'!I60</f>
        <v>0.49046874999999995</v>
      </c>
      <c r="H17" s="133">
        <f>'1. XL-1E kh'!Q60</f>
        <v>0.46765624999999994</v>
      </c>
      <c r="I17" s="186">
        <f>'1. XL-1E kh'!Y60</f>
        <v>0.46195312499999991</v>
      </c>
    </row>
    <row r="18" spans="1:9" ht="21.75" hidden="1" customHeight="1">
      <c r="A18" s="102">
        <v>8</v>
      </c>
      <c r="B18" s="3130" t="s">
        <v>58</v>
      </c>
      <c r="C18" s="3492"/>
      <c r="D18" s="185">
        <f>'1. XL-1E kh'!I21</f>
        <v>0</v>
      </c>
      <c r="E18" s="133">
        <f>'1. XL-1E kh'!Q21</f>
        <v>0</v>
      </c>
      <c r="F18" s="133">
        <f>'1. XL-1E kh'!Y21</f>
        <v>0</v>
      </c>
      <c r="G18" s="133">
        <f>'1. XL-1E kh'!I61</f>
        <v>0</v>
      </c>
      <c r="H18" s="133">
        <f>'1. XL-1E kh'!Q61</f>
        <v>0</v>
      </c>
      <c r="I18" s="186">
        <f>'1. XL-1E kh'!Y61</f>
        <v>0</v>
      </c>
    </row>
    <row r="19" spans="1:9" ht="21.75" hidden="1" customHeight="1">
      <c r="A19" s="102">
        <v>9</v>
      </c>
      <c r="B19" s="3130" t="s">
        <v>59</v>
      </c>
      <c r="C19" s="3492"/>
      <c r="D19" s="185">
        <f>'1. XL-1E kh'!I22</f>
        <v>0</v>
      </c>
      <c r="E19" s="133">
        <f>'1. XL-1E kh'!Q22</f>
        <v>0.13459375000000001</v>
      </c>
      <c r="F19" s="133">
        <f>'1. XL-1E kh'!Y22</f>
        <v>0.18478124999999998</v>
      </c>
      <c r="G19" s="133">
        <f>'1. XL-1E kh'!I62</f>
        <v>0.17109374999999999</v>
      </c>
      <c r="H19" s="133">
        <f>'1. XL-1E kh'!Q62</f>
        <v>0.15284375</v>
      </c>
      <c r="I19" s="186">
        <f>'1. XL-1E kh'!Y62</f>
        <v>0.1140625</v>
      </c>
    </row>
    <row r="20" spans="1:9" ht="21.75" hidden="1" customHeight="1">
      <c r="A20" s="102">
        <v>10</v>
      </c>
      <c r="B20" s="3130" t="s">
        <v>96</v>
      </c>
      <c r="C20" s="3492"/>
      <c r="D20" s="185">
        <f>'1. XL-1E kh'!I23</f>
        <v>0</v>
      </c>
      <c r="E20" s="133">
        <f>'1. XL-1E kh'!Q23</f>
        <v>0</v>
      </c>
      <c r="F20" s="133">
        <f>'1. XL-1E kh'!Y23</f>
        <v>0</v>
      </c>
      <c r="G20" s="133">
        <f>'1. XL-1E kh'!I63</f>
        <v>7.0000000000000001E-3</v>
      </c>
      <c r="H20" s="133">
        <f>'1. XL-1E kh'!Q63</f>
        <v>6.7999999999999996E-3</v>
      </c>
      <c r="I20" s="186">
        <f>'1. XL-1E kh'!Y63</f>
        <v>7.5599999999999999E-3</v>
      </c>
    </row>
    <row r="21" spans="1:9" ht="21.75" hidden="1" customHeight="1">
      <c r="A21" s="3495" t="s">
        <v>72</v>
      </c>
      <c r="B21" s="3495"/>
      <c r="C21" s="3496"/>
      <c r="D21" s="187" t="s">
        <v>156</v>
      </c>
      <c r="E21" s="142"/>
      <c r="F21" s="142"/>
      <c r="G21" s="142"/>
      <c r="H21" s="142"/>
      <c r="I21" s="188"/>
    </row>
    <row r="22" spans="1:9" ht="21.75" hidden="1" customHeight="1">
      <c r="A22" s="138" t="s">
        <v>7</v>
      </c>
      <c r="B22" s="3496" t="s">
        <v>60</v>
      </c>
      <c r="C22" s="3497"/>
      <c r="D22" s="189">
        <v>0.25</v>
      </c>
      <c r="E22" s="145">
        <v>0.41666666666666669</v>
      </c>
      <c r="F22" s="145">
        <v>0.58333333333333337</v>
      </c>
      <c r="G22" s="145">
        <v>0.75</v>
      </c>
      <c r="H22" s="145">
        <v>0.91666666666666663</v>
      </c>
      <c r="I22" s="190">
        <v>8.3333333333333329E-2</v>
      </c>
    </row>
    <row r="23" spans="1:9" ht="21.75" hidden="1" customHeight="1">
      <c r="A23" s="102">
        <v>1</v>
      </c>
      <c r="B23" s="3140" t="s">
        <v>64</v>
      </c>
      <c r="C23" s="3141"/>
      <c r="D23" s="185">
        <f>'1. XL-1E kh'!I28</f>
        <v>0</v>
      </c>
      <c r="E23" s="133">
        <f>'1. XL-1E kh'!Q28</f>
        <v>62</v>
      </c>
      <c r="F23" s="133">
        <f>'1. XL-1E kh'!Y28</f>
        <v>62</v>
      </c>
      <c r="G23" s="133">
        <f>'1. XL-1E kh'!I68</f>
        <v>63</v>
      </c>
      <c r="H23" s="133">
        <f>'1. XL-1E kh'!Q68</f>
        <v>62</v>
      </c>
      <c r="I23" s="186">
        <f>'1. XL-1E kh'!Y68</f>
        <v>63</v>
      </c>
    </row>
    <row r="24" spans="1:9" ht="21.75" hidden="1" customHeight="1">
      <c r="A24" s="102">
        <v>2</v>
      </c>
      <c r="B24" s="3140" t="s">
        <v>65</v>
      </c>
      <c r="C24" s="3141" t="s">
        <v>65</v>
      </c>
      <c r="D24" s="185">
        <f>'1. XL-1E kh'!I29</f>
        <v>0</v>
      </c>
      <c r="E24" s="133">
        <f>'1. XL-1E kh'!Q29</f>
        <v>60</v>
      </c>
      <c r="F24" s="133">
        <f>'1. XL-1E kh'!Y29</f>
        <v>60</v>
      </c>
      <c r="G24" s="133">
        <f>'1. XL-1E kh'!I69</f>
        <v>61</v>
      </c>
      <c r="H24" s="133">
        <f>'1. XL-1E kh'!Q69</f>
        <v>61</v>
      </c>
      <c r="I24" s="186">
        <f>'1. XL-1E kh'!Y69</f>
        <v>60</v>
      </c>
    </row>
    <row r="25" spans="1:9" ht="21.75" hidden="1" customHeight="1">
      <c r="A25" s="102">
        <v>3</v>
      </c>
      <c r="B25" s="3140" t="s">
        <v>67</v>
      </c>
      <c r="C25" s="3141" t="s">
        <v>67</v>
      </c>
      <c r="D25" s="185">
        <f>'1. XL-1E kh'!I30</f>
        <v>0</v>
      </c>
      <c r="E25" s="133">
        <f>'1. XL-1E kh'!Q30</f>
        <v>53</v>
      </c>
      <c r="F25" s="133">
        <f>'1. XL-1E kh'!Y30</f>
        <v>53</v>
      </c>
      <c r="G25" s="133">
        <f>'1. XL-1E kh'!I70</f>
        <v>54</v>
      </c>
      <c r="H25" s="133">
        <f>'1. XL-1E kh'!Q70</f>
        <v>53</v>
      </c>
      <c r="I25" s="186">
        <f>'1. XL-1E kh'!Y70</f>
        <v>53</v>
      </c>
    </row>
    <row r="26" spans="1:9" ht="21.75" hidden="1" customHeight="1">
      <c r="A26" s="102">
        <v>4</v>
      </c>
      <c r="B26" s="3140" t="s">
        <v>66</v>
      </c>
      <c r="C26" s="3141" t="s">
        <v>66</v>
      </c>
      <c r="D26" s="185">
        <f>'1. XL-1E kh'!I31</f>
        <v>0</v>
      </c>
      <c r="E26" s="133">
        <f>'1. XL-1E kh'!Q31</f>
        <v>55</v>
      </c>
      <c r="F26" s="133">
        <f>'1. XL-1E kh'!Y31</f>
        <v>54</v>
      </c>
      <c r="G26" s="133">
        <f>'1. XL-1E kh'!I71</f>
        <v>50</v>
      </c>
      <c r="H26" s="133">
        <f>'1. XL-1E kh'!Q71</f>
        <v>48</v>
      </c>
      <c r="I26" s="186">
        <f>'1. XL-1E kh'!Y71</f>
        <v>49</v>
      </c>
    </row>
    <row r="27" spans="1:9" ht="21.75" hidden="1" customHeight="1">
      <c r="A27" s="102">
        <v>5</v>
      </c>
      <c r="B27" s="3140" t="s">
        <v>68</v>
      </c>
      <c r="C27" s="3141" t="s">
        <v>68</v>
      </c>
      <c r="D27" s="185">
        <f>'1. XL-1E kh'!I32</f>
        <v>0</v>
      </c>
      <c r="E27" s="133">
        <f>'1. XL-1E kh'!Q32</f>
        <v>28</v>
      </c>
      <c r="F27" s="133">
        <f>'1. XL-1E kh'!Y32</f>
        <v>26</v>
      </c>
      <c r="G27" s="133">
        <f>'1. XL-1E kh'!I72</f>
        <v>31</v>
      </c>
      <c r="H27" s="133">
        <f>'1. XL-1E kh'!Q72</f>
        <v>30</v>
      </c>
      <c r="I27" s="186">
        <f>'1. XL-1E kh'!Y72</f>
        <v>29</v>
      </c>
    </row>
    <row r="28" spans="1:9" ht="21.75" hidden="1" customHeight="1">
      <c r="A28" s="102">
        <v>6</v>
      </c>
      <c r="B28" s="3140" t="s">
        <v>83</v>
      </c>
      <c r="C28" s="3141" t="s">
        <v>83</v>
      </c>
      <c r="D28" s="185">
        <f>'1. XL-1E kh'!I33</f>
        <v>0</v>
      </c>
      <c r="E28" s="133">
        <f>'1. XL-1E kh'!Q33</f>
        <v>33</v>
      </c>
      <c r="F28" s="133">
        <f>'1. XL-1E kh'!Y33</f>
        <v>37</v>
      </c>
      <c r="G28" s="133">
        <f>'1. XL-1E kh'!I73</f>
        <v>37</v>
      </c>
      <c r="H28" s="133">
        <f>'1. XL-1E kh'!Q73</f>
        <v>37</v>
      </c>
      <c r="I28" s="186">
        <f>'1. XL-1E kh'!Y73</f>
        <v>36</v>
      </c>
    </row>
    <row r="29" spans="1:9" ht="21.75" hidden="1" customHeight="1">
      <c r="A29" s="102">
        <v>7</v>
      </c>
      <c r="B29" s="3140" t="s">
        <v>69</v>
      </c>
      <c r="C29" s="3141" t="s">
        <v>69</v>
      </c>
      <c r="D29" s="185">
        <f>'1. XL-1E kh'!I34</f>
        <v>0</v>
      </c>
      <c r="E29" s="133">
        <f>'1. XL-1E kh'!Q34</f>
        <v>44</v>
      </c>
      <c r="F29" s="133">
        <f>'1. XL-1E kh'!Y34</f>
        <v>61</v>
      </c>
      <c r="G29" s="133">
        <f>'1. XL-1E kh'!I74</f>
        <v>57</v>
      </c>
      <c r="H29" s="133">
        <f>'1. XL-1E kh'!Q74</f>
        <v>54</v>
      </c>
      <c r="I29" s="186">
        <f>'1. XL-1E kh'!Y74</f>
        <v>56</v>
      </c>
    </row>
    <row r="30" spans="1:9" ht="21.75" hidden="1" customHeight="1">
      <c r="A30" s="102">
        <v>8</v>
      </c>
      <c r="B30" s="3140" t="s">
        <v>70</v>
      </c>
      <c r="C30" s="3141" t="s">
        <v>70</v>
      </c>
      <c r="D30" s="185">
        <f>'1. XL-1E kh'!K35</f>
        <v>0</v>
      </c>
      <c r="E30" s="133" t="str">
        <f>'1. XL-1E kh'!S35</f>
        <v>chưa mở</v>
      </c>
      <c r="F30" s="133" t="str">
        <f>'1. XL-1E kh'!AA35</f>
        <v>chưa mở</v>
      </c>
      <c r="G30" s="133">
        <f>'1. XL-1E kh'!K75</f>
        <v>92</v>
      </c>
      <c r="H30" s="133">
        <f>'1. XL-1E kh'!S75</f>
        <v>89</v>
      </c>
      <c r="I30" s="186">
        <f>'1. XL-1E kh'!AA75</f>
        <v>89</v>
      </c>
    </row>
    <row r="31" spans="1:9" ht="21.75" hidden="1" customHeight="1">
      <c r="A31" s="3495" t="s">
        <v>74</v>
      </c>
      <c r="B31" s="3495"/>
      <c r="C31" s="3496"/>
      <c r="D31" s="187" t="s">
        <v>157</v>
      </c>
      <c r="E31" s="142"/>
      <c r="F31" s="142"/>
      <c r="G31" s="142"/>
      <c r="H31" s="142"/>
      <c r="I31" s="188"/>
    </row>
    <row r="32" spans="1:9" ht="21.75" hidden="1" customHeight="1">
      <c r="A32" s="138" t="s">
        <v>7</v>
      </c>
      <c r="B32" s="3496" t="s">
        <v>91</v>
      </c>
      <c r="C32" s="3497"/>
      <c r="D32" s="191">
        <v>0.25</v>
      </c>
      <c r="E32" s="137">
        <v>0.41666666666666669</v>
      </c>
      <c r="F32" s="137">
        <v>0.58333333333333337</v>
      </c>
      <c r="G32" s="137">
        <v>0.75</v>
      </c>
      <c r="H32" s="137">
        <v>0.91666666666666663</v>
      </c>
      <c r="I32" s="192">
        <v>8.3333333333333329E-2</v>
      </c>
    </row>
    <row r="33" spans="1:9" ht="21.75" hidden="1" customHeight="1">
      <c r="A33" s="102">
        <v>1</v>
      </c>
      <c r="B33" s="3130" t="s">
        <v>97</v>
      </c>
      <c r="C33" s="3494"/>
      <c r="D33" s="185">
        <f>'1. XL-1E kh'!I38</f>
        <v>0</v>
      </c>
      <c r="E33" s="133">
        <f>'1. XL-1E kh'!Q38</f>
        <v>0</v>
      </c>
      <c r="F33" s="133">
        <f>'1. XL-1E kh'!Y38</f>
        <v>0</v>
      </c>
      <c r="G33" s="133">
        <f>'1. XL-1E kh'!I78</f>
        <v>360</v>
      </c>
      <c r="H33" s="133">
        <f>'1. XL-1E kh'!Q78</f>
        <v>350</v>
      </c>
      <c r="I33" s="186">
        <f>'1. XL-1E kh'!Y78</f>
        <v>345</v>
      </c>
    </row>
    <row r="34" spans="1:9" ht="21.75" hidden="1" customHeight="1">
      <c r="A34" s="102">
        <v>2</v>
      </c>
      <c r="B34" s="3130" t="s">
        <v>98</v>
      </c>
      <c r="C34" s="3494"/>
      <c r="D34" s="185">
        <f>'1. XL-1E kh'!I39</f>
        <v>0</v>
      </c>
      <c r="E34" s="133">
        <f>'1. XL-1E kh'!Q39</f>
        <v>0</v>
      </c>
      <c r="F34" s="133">
        <f>'1. XL-1E kh'!Y39</f>
        <v>0</v>
      </c>
      <c r="G34" s="133">
        <f>'1. XL-1E kh'!I79</f>
        <v>42</v>
      </c>
      <c r="H34" s="133">
        <f>'1. XL-1E kh'!Q79</f>
        <v>40</v>
      </c>
      <c r="I34" s="186">
        <f>'1. XL-1E kh'!Y79</f>
        <v>41</v>
      </c>
    </row>
    <row r="35" spans="1:9" ht="21.75" hidden="1" customHeight="1">
      <c r="A35" s="139"/>
      <c r="B35" s="139"/>
      <c r="C35" s="139"/>
      <c r="D35" s="187" t="s">
        <v>155</v>
      </c>
      <c r="E35" s="142"/>
      <c r="F35" s="142"/>
      <c r="G35" s="142"/>
      <c r="H35" s="142"/>
      <c r="I35" s="188"/>
    </row>
    <row r="36" spans="1:9" ht="21.75" hidden="1" customHeight="1">
      <c r="A36" s="139"/>
      <c r="B36" s="139"/>
      <c r="C36" s="139"/>
      <c r="D36" s="191">
        <v>0.25</v>
      </c>
      <c r="E36" s="137">
        <v>0.41666666666666669</v>
      </c>
      <c r="F36" s="137">
        <v>0.58333333333333337</v>
      </c>
      <c r="G36" s="137">
        <v>0.75</v>
      </c>
      <c r="H36" s="137">
        <v>0.91666666666666663</v>
      </c>
      <c r="I36" s="192">
        <v>8.3333333333333329E-2</v>
      </c>
    </row>
    <row r="37" spans="1:9" ht="21.75" hidden="1" customHeight="1">
      <c r="A37" s="3376">
        <v>1</v>
      </c>
      <c r="B37" s="3493" t="s">
        <v>130</v>
      </c>
      <c r="C37" s="135" t="s">
        <v>99</v>
      </c>
      <c r="D37" s="193">
        <f>'1. XL-1E kh'!K6</f>
        <v>80.790000000000006</v>
      </c>
      <c r="E37" s="140">
        <f>'1. XL-1E kh'!S6</f>
        <v>9.1561999999999948</v>
      </c>
      <c r="F37" s="140">
        <f>'1. XL-1E kh'!AA6</f>
        <v>0</v>
      </c>
      <c r="G37" s="140">
        <f>'1. XL-1E kh'!K46</f>
        <v>0</v>
      </c>
      <c r="H37" s="140">
        <f>'1. XL-1E kh'!S46</f>
        <v>0</v>
      </c>
      <c r="I37" s="194">
        <f>'1. XL-1E kh'!AA46</f>
        <v>0</v>
      </c>
    </row>
    <row r="38" spans="1:9" ht="21.75" hidden="1" customHeight="1">
      <c r="A38" s="3377"/>
      <c r="B38" s="3488"/>
      <c r="C38" s="136" t="s">
        <v>127</v>
      </c>
      <c r="D38" s="193">
        <f>'1. XL-1E kh'!K8</f>
        <v>27.145440000000004</v>
      </c>
      <c r="E38" s="140">
        <f>'1. XL-1E kh'!S8</f>
        <v>3.0764831999999984</v>
      </c>
      <c r="F38" s="140">
        <f>'1. XL-1E kh'!AA8</f>
        <v>0</v>
      </c>
      <c r="G38" s="140">
        <f>'1. XL-1E kh'!K48</f>
        <v>0</v>
      </c>
      <c r="H38" s="140">
        <f>'1. XL-1E kh'!S48</f>
        <v>0</v>
      </c>
      <c r="I38" s="194">
        <f>'1. XL-1E kh'!AA48</f>
        <v>0</v>
      </c>
    </row>
    <row r="39" spans="1:9" ht="21.75" hidden="1" customHeight="1">
      <c r="A39" s="3376">
        <v>2</v>
      </c>
      <c r="B39" s="3493" t="s">
        <v>144</v>
      </c>
      <c r="C39" s="135" t="s">
        <v>99</v>
      </c>
      <c r="D39" s="193">
        <f>'1. XL-1E kh'!K9</f>
        <v>99.15</v>
      </c>
      <c r="E39" s="140">
        <f>'1. XL-1E kh'!S9</f>
        <v>0</v>
      </c>
      <c r="F39" s="140">
        <f>'1. XL-1E kh'!AA9</f>
        <v>0</v>
      </c>
      <c r="G39" s="140">
        <f>'1. XL-1E kh'!K49</f>
        <v>0</v>
      </c>
      <c r="H39" s="140">
        <f>'1. XL-1E kh'!S49</f>
        <v>0</v>
      </c>
      <c r="I39" s="194">
        <f>'1. XL-1E kh'!AA49</f>
        <v>0</v>
      </c>
    </row>
    <row r="40" spans="1:9" ht="21.75" hidden="1" customHeight="1">
      <c r="A40" s="3377"/>
      <c r="B40" s="3488"/>
      <c r="C40" s="136" t="s">
        <v>127</v>
      </c>
      <c r="D40" s="193">
        <f>'1. XL-1E kh'!K11</f>
        <v>33.314399999999999</v>
      </c>
      <c r="E40" s="140">
        <f>'1. XL-1E kh'!S11</f>
        <v>0</v>
      </c>
      <c r="F40" s="140">
        <f>'1. XL-1E kh'!AA11</f>
        <v>0</v>
      </c>
      <c r="G40" s="140">
        <f>'1. XL-1E kh'!K51</f>
        <v>0</v>
      </c>
      <c r="H40" s="140">
        <f>'1. XL-1E kh'!S51</f>
        <v>0</v>
      </c>
      <c r="I40" s="194">
        <f>'1. XL-1E kh'!AA51</f>
        <v>0</v>
      </c>
    </row>
    <row r="41" spans="1:9" ht="21.75" hidden="1" customHeight="1">
      <c r="A41" s="3376">
        <v>3</v>
      </c>
      <c r="B41" s="3493" t="s">
        <v>142</v>
      </c>
      <c r="C41" s="135" t="s">
        <v>99</v>
      </c>
      <c r="D41" s="193">
        <f>'1. XL-1E kh'!K12</f>
        <v>80.92</v>
      </c>
      <c r="E41" s="140">
        <f>'1. XL-1E kh'!S12</f>
        <v>0</v>
      </c>
      <c r="F41" s="140">
        <f>'1. XL-1E kh'!AA12</f>
        <v>0</v>
      </c>
      <c r="G41" s="140">
        <f>'1. XL-1E kh'!K52</f>
        <v>0</v>
      </c>
      <c r="H41" s="140">
        <f>'1. XL-1E kh'!S52</f>
        <v>0</v>
      </c>
      <c r="I41" s="194">
        <f>'1. XL-1E kh'!AA52</f>
        <v>0</v>
      </c>
    </row>
    <row r="42" spans="1:9" ht="21.75" hidden="1" customHeight="1">
      <c r="A42" s="3377"/>
      <c r="B42" s="3488"/>
      <c r="C42" s="136" t="s">
        <v>127</v>
      </c>
      <c r="D42" s="193">
        <f>'1. XL-1E kh'!K13</f>
        <v>24.276</v>
      </c>
      <c r="E42" s="140">
        <f>'1. XL-1E kh'!S13</f>
        <v>0</v>
      </c>
      <c r="F42" s="140">
        <f>'1. XL-1E kh'!AA13</f>
        <v>0</v>
      </c>
      <c r="G42" s="140">
        <f>'1. XL-1E kh'!K53</f>
        <v>0</v>
      </c>
      <c r="H42" s="140">
        <f>'1. XL-1E kh'!S53</f>
        <v>0</v>
      </c>
      <c r="I42" s="194">
        <f>'1. XL-1E kh'!AA53</f>
        <v>0</v>
      </c>
    </row>
    <row r="43" spans="1:9" ht="21.75" hidden="1" customHeight="1">
      <c r="A43" s="3376">
        <v>4</v>
      </c>
      <c r="B43" s="3493" t="s">
        <v>143</v>
      </c>
      <c r="C43" s="135" t="s">
        <v>99</v>
      </c>
      <c r="D43" s="193">
        <f>'1. XL-1E kh'!K14</f>
        <v>102.13</v>
      </c>
      <c r="E43" s="140">
        <f>'1. XL-1E kh'!S14</f>
        <v>0</v>
      </c>
      <c r="F43" s="140">
        <f>'1. XL-1E kh'!AA14</f>
        <v>0</v>
      </c>
      <c r="G43" s="140">
        <f>'1. XL-1E kh'!K54</f>
        <v>0</v>
      </c>
      <c r="H43" s="140">
        <f>'1. XL-1E kh'!S54</f>
        <v>0</v>
      </c>
      <c r="I43" s="194">
        <f>'1. XL-1E kh'!AA54</f>
        <v>2.9180000000000001</v>
      </c>
    </row>
    <row r="44" spans="1:9" ht="21.75" hidden="1" customHeight="1">
      <c r="A44" s="3377"/>
      <c r="B44" s="3488"/>
      <c r="C44" s="136" t="s">
        <v>127</v>
      </c>
      <c r="D44" s="193">
        <f>'1. XL-1E kh'!K15</f>
        <v>30.638999999999996</v>
      </c>
      <c r="E44" s="140">
        <f>'1. XL-1E kh'!S15</f>
        <v>0</v>
      </c>
      <c r="F44" s="140">
        <f>'1. XL-1E kh'!AA15</f>
        <v>0</v>
      </c>
      <c r="G44" s="140">
        <f>'1. XL-1E kh'!K55</f>
        <v>0</v>
      </c>
      <c r="H44" s="140">
        <f>'1. XL-1E kh'!S55</f>
        <v>0</v>
      </c>
      <c r="I44" s="194">
        <f>'1. XL-1E kh'!AA55</f>
        <v>0.87540000000000007</v>
      </c>
    </row>
    <row r="45" spans="1:9" ht="21.75" hidden="1" customHeight="1">
      <c r="A45" s="3376">
        <v>5</v>
      </c>
      <c r="B45" s="3216" t="s">
        <v>94</v>
      </c>
      <c r="C45" s="108" t="s">
        <v>93</v>
      </c>
      <c r="D45" s="193">
        <f>'1. XL-1E kh'!K16</f>
        <v>2793.14</v>
      </c>
      <c r="E45" s="140">
        <f>'1. XL-1E kh'!S16</f>
        <v>127.68640000000011</v>
      </c>
      <c r="F45" s="140">
        <f>'1. XL-1E kh'!AA16</f>
        <v>0</v>
      </c>
      <c r="G45" s="140">
        <f>'1. XL-1E kh'!K56</f>
        <v>0</v>
      </c>
      <c r="H45" s="140">
        <f>'1. XL-1E kh'!S56</f>
        <v>0</v>
      </c>
      <c r="I45" s="194">
        <f>'1. XL-1E kh'!AA56</f>
        <v>0</v>
      </c>
    </row>
    <row r="46" spans="1:9" ht="21.75" hidden="1" customHeight="1">
      <c r="A46" s="3377"/>
      <c r="B46" s="3217"/>
      <c r="C46" s="108" t="s">
        <v>56</v>
      </c>
      <c r="D46" s="193">
        <f>'1. XL-1E kh'!K17</f>
        <v>199.51</v>
      </c>
      <c r="E46" s="140">
        <f>'1. XL-1E kh'!S17</f>
        <v>0</v>
      </c>
      <c r="F46" s="140">
        <f>'1. XL-1E kh'!AA17</f>
        <v>0</v>
      </c>
      <c r="G46" s="140">
        <f>'1. XL-1E kh'!K57</f>
        <v>0</v>
      </c>
      <c r="H46" s="140">
        <f>'1. XL-1E kh'!S57</f>
        <v>0</v>
      </c>
      <c r="I46" s="194">
        <f>'1. XL-1E kh'!AA57</f>
        <v>0</v>
      </c>
    </row>
    <row r="47" spans="1:9" ht="21.75" hidden="1" customHeight="1">
      <c r="A47" s="3376">
        <v>6</v>
      </c>
      <c r="B47" s="3489" t="s">
        <v>95</v>
      </c>
      <c r="C47" s="3490"/>
      <c r="D47" s="193">
        <f>'1. XL-1E kh'!K18</f>
        <v>80.5</v>
      </c>
      <c r="E47" s="140">
        <f>'1. XL-1E kh'!S18</f>
        <v>0</v>
      </c>
      <c r="F47" s="140">
        <f>'1. XL-1E kh'!AA18</f>
        <v>0</v>
      </c>
      <c r="G47" s="140">
        <f>'1. XL-1E kh'!K58</f>
        <v>0</v>
      </c>
      <c r="H47" s="140">
        <f>'1. XL-1E kh'!S58</f>
        <v>0</v>
      </c>
      <c r="I47" s="194">
        <f>'1. XL-1E kh'!AA58</f>
        <v>0</v>
      </c>
    </row>
    <row r="48" spans="1:9" ht="21.75" hidden="1" customHeight="1">
      <c r="A48" s="3377"/>
      <c r="B48" s="3491"/>
      <c r="C48" s="3392"/>
      <c r="D48" s="193">
        <f>'1. XL-1E kh'!K19</f>
        <v>0</v>
      </c>
      <c r="E48" s="140">
        <f>'1. XL-1E kh'!S19</f>
        <v>0</v>
      </c>
      <c r="F48" s="140">
        <f>'1. XL-1E kh'!AA19</f>
        <v>0</v>
      </c>
      <c r="G48" s="140">
        <f>'1. XL-1E kh'!K59</f>
        <v>0</v>
      </c>
      <c r="H48" s="140">
        <f>'1. XL-1E kh'!S59</f>
        <v>0</v>
      </c>
      <c r="I48" s="194">
        <f>'1. XL-1E kh'!AA59</f>
        <v>0</v>
      </c>
    </row>
    <row r="49" spans="1:9" ht="21.75" hidden="1" customHeight="1">
      <c r="A49" s="102">
        <v>7</v>
      </c>
      <c r="B49" s="3130" t="s">
        <v>57</v>
      </c>
      <c r="C49" s="3492"/>
      <c r="D49" s="193">
        <f>'1. XL-1E kh'!K20</f>
        <v>954.9</v>
      </c>
      <c r="E49" s="140">
        <f>'1. XL-1E kh'!S20</f>
        <v>35.145625000000074</v>
      </c>
      <c r="F49" s="140">
        <f>'1. XL-1E kh'!AA20</f>
        <v>0</v>
      </c>
      <c r="G49" s="140">
        <f>'1. XL-1E kh'!K60</f>
        <v>0</v>
      </c>
      <c r="H49" s="140">
        <f>'1. XL-1E kh'!S60</f>
        <v>0</v>
      </c>
      <c r="I49" s="194">
        <f>'1. XL-1E kh'!AA60</f>
        <v>0</v>
      </c>
    </row>
    <row r="50" spans="1:9" ht="21.75" hidden="1" customHeight="1">
      <c r="A50" s="102">
        <v>8</v>
      </c>
      <c r="B50" s="3130" t="s">
        <v>58</v>
      </c>
      <c r="C50" s="3492"/>
      <c r="D50" s="193">
        <f>'1. XL-1E kh'!K21</f>
        <v>134.64000000000001</v>
      </c>
      <c r="E50" s="140">
        <f>'1. XL-1E kh'!S21</f>
        <v>134.64000000000001</v>
      </c>
      <c r="F50" s="140">
        <f>'1. XL-1E kh'!AA21</f>
        <v>134.64000000000001</v>
      </c>
      <c r="G50" s="140">
        <f>'1. XL-1E kh'!K61</f>
        <v>134.64000000000001</v>
      </c>
      <c r="H50" s="140">
        <f>'1. XL-1E kh'!S61</f>
        <v>134.64000000000001</v>
      </c>
      <c r="I50" s="194">
        <f>'1. XL-1E kh'!AA61</f>
        <v>134.64000000000001</v>
      </c>
    </row>
    <row r="51" spans="1:9" ht="21.75" hidden="1" customHeight="1">
      <c r="A51" s="102">
        <v>9</v>
      </c>
      <c r="B51" s="3130" t="s">
        <v>59</v>
      </c>
      <c r="C51" s="3492"/>
      <c r="D51" s="193">
        <f>'1. XL-1E kh'!K22</f>
        <v>57.5</v>
      </c>
      <c r="E51" s="140">
        <f>'1. XL-1E kh'!S22</f>
        <v>0</v>
      </c>
      <c r="F51" s="140">
        <f>'1. XL-1E kh'!AA22</f>
        <v>0</v>
      </c>
      <c r="G51" s="140">
        <f>'1. XL-1E kh'!K62</f>
        <v>0</v>
      </c>
      <c r="H51" s="140">
        <f>'1. XL-1E kh'!S62</f>
        <v>0</v>
      </c>
      <c r="I51" s="194">
        <f>'1. XL-1E kh'!AA62</f>
        <v>0</v>
      </c>
    </row>
    <row r="52" spans="1:9" ht="21.75" hidden="1" customHeight="1">
      <c r="A52" s="102">
        <v>10</v>
      </c>
      <c r="B52" s="3130" t="s">
        <v>96</v>
      </c>
      <c r="C52" s="3492"/>
      <c r="D52" s="195">
        <f>'1. XL-1E kh'!K23</f>
        <v>3.7799286805909325</v>
      </c>
      <c r="E52" s="144">
        <f>'1. XL-1E kh'!S23</f>
        <v>3.7799286805909325</v>
      </c>
      <c r="F52" s="144">
        <f>'1. XL-1E kh'!AA23</f>
        <v>3.7799286805909325</v>
      </c>
      <c r="G52" s="144">
        <f>'1. XL-1E kh'!K63</f>
        <v>0</v>
      </c>
      <c r="H52" s="144">
        <f>'1. XL-1E kh'!S63</f>
        <v>0.10799796230259832</v>
      </c>
      <c r="I52" s="196">
        <f>'1. XL-1E kh'!AA63</f>
        <v>0</v>
      </c>
    </row>
    <row r="53" spans="1:9" ht="21.75" hidden="1" customHeight="1">
      <c r="D53" s="185"/>
      <c r="E53" s="133"/>
      <c r="F53" s="133"/>
      <c r="G53" s="133"/>
      <c r="H53" s="133"/>
      <c r="I53" s="186"/>
    </row>
    <row r="54" spans="1:9" ht="21.75" hidden="1" customHeight="1">
      <c r="A54" s="173"/>
      <c r="B54" s="158" t="s">
        <v>213</v>
      </c>
      <c r="C54" s="169"/>
      <c r="D54" s="197"/>
      <c r="E54" s="170"/>
      <c r="F54" s="133"/>
      <c r="G54" s="133"/>
      <c r="H54" s="133"/>
      <c r="I54" s="186"/>
    </row>
    <row r="55" spans="1:9" ht="21.75" hidden="1" customHeight="1">
      <c r="A55" s="163" t="s">
        <v>7</v>
      </c>
      <c r="B55" s="151"/>
      <c r="C55" s="151"/>
      <c r="D55" s="187" t="s">
        <v>154</v>
      </c>
      <c r="E55" s="142"/>
      <c r="F55" s="142"/>
      <c r="G55" s="142"/>
      <c r="H55" s="142"/>
      <c r="I55" s="188"/>
    </row>
    <row r="56" spans="1:9" ht="21.75" hidden="1" customHeight="1">
      <c r="A56" s="164"/>
      <c r="B56" s="160"/>
      <c r="C56" s="160"/>
      <c r="D56" s="191">
        <v>0.25</v>
      </c>
      <c r="E56" s="137">
        <v>0.41666666666666669</v>
      </c>
      <c r="F56" s="137">
        <v>0.58333333333333337</v>
      </c>
      <c r="G56" s="137">
        <v>0.75</v>
      </c>
      <c r="H56" s="137">
        <v>0.91666666666666663</v>
      </c>
      <c r="I56" s="192">
        <v>8.3333333333333329E-2</v>
      </c>
    </row>
    <row r="57" spans="1:9" ht="21.75" hidden="1" customHeight="1">
      <c r="A57" s="174">
        <v>1</v>
      </c>
      <c r="B57" s="120" t="s">
        <v>130</v>
      </c>
      <c r="C57" s="175" t="s">
        <v>99</v>
      </c>
      <c r="D57" s="183">
        <f>'2. XL-1F kh'!I6</f>
        <v>71.39</v>
      </c>
      <c r="E57" s="134">
        <f>'2. XL-1F kh'!Q6</f>
        <v>72.688000000000002</v>
      </c>
      <c r="F57" s="134">
        <f>'2. XL-1F kh'!Y6</f>
        <v>72.363500000000002</v>
      </c>
      <c r="G57" s="134">
        <f>'2. XL-1F kh'!I44</f>
        <v>71.8</v>
      </c>
      <c r="H57" s="134">
        <f>'2. XL-1F kh'!Q44</f>
        <v>71</v>
      </c>
      <c r="I57" s="184">
        <f>'2. XL-1F kh'!Y44</f>
        <v>70</v>
      </c>
    </row>
    <row r="58" spans="1:9" ht="21.75" hidden="1" customHeight="1">
      <c r="A58" s="105"/>
      <c r="B58" s="124"/>
      <c r="C58" s="119" t="s">
        <v>100</v>
      </c>
      <c r="D58" s="185" t="e">
        <f>'2. XL-1F kh'!#REF!</f>
        <v>#REF!</v>
      </c>
      <c r="E58" s="133" t="e">
        <f>'2. XL-1F kh'!#REF!</f>
        <v>#REF!</v>
      </c>
      <c r="F58" s="133" t="e">
        <f>'2. XL-1F kh'!#REF!</f>
        <v>#REF!</v>
      </c>
      <c r="G58" s="133" t="e">
        <f>'2. XL-1F kh'!#REF!</f>
        <v>#REF!</v>
      </c>
      <c r="H58" s="133" t="e">
        <f>'2. XL-1F kh'!#REF!</f>
        <v>#REF!</v>
      </c>
      <c r="I58" s="186" t="e">
        <f>'2. XL-1F kh'!#REF!</f>
        <v>#REF!</v>
      </c>
    </row>
    <row r="59" spans="1:9" ht="21.75" hidden="1" customHeight="1">
      <c r="A59" s="106"/>
      <c r="B59" s="125"/>
      <c r="C59" s="110" t="s">
        <v>102</v>
      </c>
      <c r="D59" s="185" t="e">
        <f>'2. XL-1F kh'!#REF!</f>
        <v>#REF!</v>
      </c>
      <c r="E59" s="133" t="e">
        <f>'2. XL-1F kh'!#REF!</f>
        <v>#REF!</v>
      </c>
      <c r="F59" s="133" t="e">
        <f>'2. XL-1F kh'!#REF!</f>
        <v>#REF!</v>
      </c>
      <c r="G59" s="133" t="e">
        <f>'2. XL-1F kh'!#REF!</f>
        <v>#REF!</v>
      </c>
      <c r="H59" s="133" t="e">
        <f>'2. XL-1F kh'!#REF!</f>
        <v>#REF!</v>
      </c>
      <c r="I59" s="186" t="e">
        <f>'2. XL-1F kh'!#REF!</f>
        <v>#REF!</v>
      </c>
    </row>
    <row r="60" spans="1:9" ht="21.75" hidden="1" customHeight="1">
      <c r="A60" s="104">
        <v>2</v>
      </c>
      <c r="B60" s="117" t="s">
        <v>131</v>
      </c>
      <c r="C60" s="123" t="s">
        <v>99</v>
      </c>
      <c r="D60" s="185">
        <f>'2. XL-1F kh'!I8</f>
        <v>72.039000000000001</v>
      </c>
      <c r="E60" s="133">
        <f>'2. XL-1F kh'!Q8</f>
        <v>74.959500000000006</v>
      </c>
      <c r="F60" s="133">
        <f>'2. XL-1F kh'!Y8</f>
        <v>74.635000000000005</v>
      </c>
      <c r="G60" s="133">
        <f>'2. XL-1F kh'!I46</f>
        <v>73.986000000000004</v>
      </c>
      <c r="H60" s="133">
        <f>'2. XL-1F kh'!Q46</f>
        <v>73.5</v>
      </c>
      <c r="I60" s="186">
        <f>'2. XL-1F kh'!Y46</f>
        <v>73</v>
      </c>
    </row>
    <row r="61" spans="1:9" ht="21.75" hidden="1" customHeight="1">
      <c r="A61" s="105"/>
      <c r="B61" s="124"/>
      <c r="C61" s="110" t="s">
        <v>100</v>
      </c>
      <c r="D61" s="185" t="e">
        <f>'2. XL-1F kh'!#REF!</f>
        <v>#REF!</v>
      </c>
      <c r="E61" s="133" t="e">
        <f>'2. XL-1F kh'!#REF!</f>
        <v>#REF!</v>
      </c>
      <c r="F61" s="133" t="e">
        <f>'2. XL-1F kh'!#REF!</f>
        <v>#REF!</v>
      </c>
      <c r="G61" s="133" t="e">
        <f>'2. XL-1F kh'!#REF!</f>
        <v>#REF!</v>
      </c>
      <c r="H61" s="133" t="e">
        <f>'2. XL-1F kh'!#REF!</f>
        <v>#REF!</v>
      </c>
      <c r="I61" s="186" t="e">
        <f>'2. XL-1F kh'!#REF!</f>
        <v>#REF!</v>
      </c>
    </row>
    <row r="62" spans="1:9" ht="21.75" hidden="1" customHeight="1">
      <c r="A62" s="106"/>
      <c r="B62" s="125"/>
      <c r="C62" s="110" t="s">
        <v>102</v>
      </c>
      <c r="D62" s="185" t="e">
        <f>'2. XL-1F kh'!#REF!</f>
        <v>#REF!</v>
      </c>
      <c r="E62" s="133" t="e">
        <f>'2. XL-1F kh'!#REF!</f>
        <v>#REF!</v>
      </c>
      <c r="F62" s="133" t="e">
        <f>'2. XL-1F kh'!#REF!</f>
        <v>#REF!</v>
      </c>
      <c r="G62" s="133" t="e">
        <f>'2. XL-1F kh'!#REF!</f>
        <v>#REF!</v>
      </c>
      <c r="H62" s="133" t="e">
        <f>'2. XL-1F kh'!#REF!</f>
        <v>#REF!</v>
      </c>
      <c r="I62" s="186" t="e">
        <f>'2. XL-1F kh'!#REF!</f>
        <v>#REF!</v>
      </c>
    </row>
    <row r="63" spans="1:9" ht="21.75" hidden="1" customHeight="1">
      <c r="A63" s="104">
        <v>3</v>
      </c>
      <c r="B63" s="121" t="s">
        <v>132</v>
      </c>
      <c r="C63" s="123" t="s">
        <v>99</v>
      </c>
      <c r="D63" s="185">
        <f>'2. XL-1F kh'!I10</f>
        <v>55.208999999999996</v>
      </c>
      <c r="E63" s="133">
        <f>'2. XL-1F kh'!Q10</f>
        <v>60.06</v>
      </c>
      <c r="F63" s="133">
        <f>'2. XL-1F kh'!Y10</f>
        <v>61.446000000000005</v>
      </c>
      <c r="G63" s="133">
        <f>'2. XL-1F kh'!I48</f>
        <v>62.370000000000005</v>
      </c>
      <c r="H63" s="133">
        <f>'2. XL-1F kh'!Q48</f>
        <v>60.983999999999995</v>
      </c>
      <c r="I63" s="186">
        <f>'2. XL-1F kh'!Y48</f>
        <v>59.598000000000006</v>
      </c>
    </row>
    <row r="64" spans="1:9" ht="21.75" hidden="1" customHeight="1">
      <c r="A64" s="106"/>
      <c r="B64" s="122"/>
      <c r="C64" s="110" t="s">
        <v>103</v>
      </c>
      <c r="D64" s="185">
        <f>'2. XL-1F kh'!I11</f>
        <v>0</v>
      </c>
      <c r="E64" s="133">
        <f>'2. XL-1F kh'!Q11</f>
        <v>0</v>
      </c>
      <c r="F64" s="133">
        <f>'2. XL-1F kh'!Y11</f>
        <v>0</v>
      </c>
      <c r="G64" s="133">
        <f>'2. XL-1F kh'!I49</f>
        <v>0</v>
      </c>
      <c r="H64" s="133">
        <f>'2. XL-1F kh'!Q49</f>
        <v>0</v>
      </c>
      <c r="I64" s="186">
        <f>'2. XL-1F kh'!Y49</f>
        <v>0</v>
      </c>
    </row>
    <row r="65" spans="1:9" ht="21.75" hidden="1" customHeight="1">
      <c r="A65" s="104">
        <v>4</v>
      </c>
      <c r="B65" s="121" t="s">
        <v>133</v>
      </c>
      <c r="C65" s="123" t="s">
        <v>99</v>
      </c>
      <c r="D65" s="185">
        <f>'2. XL-1F kh'!I12</f>
        <v>58.673999999999999</v>
      </c>
      <c r="E65" s="133">
        <f>'2. XL-1F kh'!Q12</f>
        <v>62.601000000000006</v>
      </c>
      <c r="F65" s="133">
        <f>'2. XL-1F kh'!Y12</f>
        <v>61.446000000000005</v>
      </c>
      <c r="G65" s="133">
        <f>'2. XL-1F kh'!I50</f>
        <v>57.75</v>
      </c>
      <c r="H65" s="133">
        <f>'2. XL-1F kh'!Q50</f>
        <v>65.603999999999999</v>
      </c>
      <c r="I65" s="186">
        <f>'2. XL-1F kh'!Y50</f>
        <v>65</v>
      </c>
    </row>
    <row r="66" spans="1:9" ht="21.75" hidden="1" customHeight="1">
      <c r="A66" s="106"/>
      <c r="B66" s="122"/>
      <c r="C66" s="110" t="s">
        <v>103</v>
      </c>
      <c r="D66" s="185">
        <f>'2. XL-1F kh'!I13</f>
        <v>0</v>
      </c>
      <c r="E66" s="133">
        <f>'2. XL-1F kh'!Q13</f>
        <v>0</v>
      </c>
      <c r="F66" s="133">
        <f>'2. XL-1F kh'!Y13</f>
        <v>0</v>
      </c>
      <c r="G66" s="133">
        <f>'2. XL-1F kh'!I51</f>
        <v>0</v>
      </c>
      <c r="H66" s="133">
        <f>'2. XL-1F kh'!Q51</f>
        <v>0</v>
      </c>
      <c r="I66" s="186">
        <f>'2. XL-1F kh'!Y51</f>
        <v>0</v>
      </c>
    </row>
    <row r="67" spans="1:9" ht="21.75" hidden="1" customHeight="1">
      <c r="A67" s="107">
        <v>5</v>
      </c>
      <c r="B67" s="110" t="s">
        <v>78</v>
      </c>
      <c r="C67" s="111"/>
      <c r="D67" s="185">
        <f>'2. XL-1F kh'!I14</f>
        <v>144.80000000000001</v>
      </c>
      <c r="E67" s="133">
        <f>'2. XL-1F kh'!Q14</f>
        <v>144.80000000000001</v>
      </c>
      <c r="F67" s="133">
        <f>'2. XL-1F kh'!Y14</f>
        <v>143.19999999999999</v>
      </c>
      <c r="G67" s="133">
        <f>'2. XL-1F kh'!I52</f>
        <v>143.19999999999999</v>
      </c>
      <c r="H67" s="133">
        <f>'2. XL-1F kh'!Q52</f>
        <v>144</v>
      </c>
      <c r="I67" s="186">
        <f>'2. XL-1F kh'!Y52</f>
        <v>144</v>
      </c>
    </row>
    <row r="68" spans="1:9" ht="21.75" hidden="1" customHeight="1">
      <c r="A68" s="107">
        <v>6</v>
      </c>
      <c r="B68" s="110" t="s">
        <v>56</v>
      </c>
      <c r="C68" s="111"/>
      <c r="D68" s="185">
        <f>'2. XL-1F kh'!I15</f>
        <v>10.01</v>
      </c>
      <c r="E68" s="133">
        <f>'2. XL-1F kh'!Q15</f>
        <v>9.75</v>
      </c>
      <c r="F68" s="133">
        <f>'2. XL-1F kh'!Y15</f>
        <v>9.75</v>
      </c>
      <c r="G68" s="133">
        <f>'2. XL-1F kh'!I53</f>
        <v>9.879999999999999</v>
      </c>
      <c r="H68" s="133">
        <f>'2. XL-1F kh'!Q53</f>
        <v>9.879999999999999</v>
      </c>
      <c r="I68" s="186">
        <f>'2. XL-1F kh'!Y53</f>
        <v>10.01</v>
      </c>
    </row>
    <row r="69" spans="1:9" ht="21.75" hidden="1" customHeight="1">
      <c r="A69" s="115">
        <v>7</v>
      </c>
      <c r="B69" s="117" t="s">
        <v>105</v>
      </c>
      <c r="C69" s="118"/>
      <c r="D69" s="185">
        <f>'2. XL-1F kh'!I16</f>
        <v>7.2160500000000001</v>
      </c>
      <c r="E69" s="133">
        <f>'2. XL-1F kh'!Q16</f>
        <v>7.13131</v>
      </c>
      <c r="F69" s="133">
        <f>'2. XL-1F kh'!Y16</f>
        <v>7.2160500000000001</v>
      </c>
      <c r="G69" s="133">
        <f>'2. XL-1F kh'!I54</f>
        <v>7.1736800000000001</v>
      </c>
      <c r="H69" s="133">
        <f>'2. XL-1F kh'!Q54</f>
        <v>7.0042</v>
      </c>
      <c r="I69" s="186">
        <f>'2. XL-1F kh'!Y54</f>
        <v>6.5</v>
      </c>
    </row>
    <row r="70" spans="1:9" ht="21.75" hidden="1" customHeight="1">
      <c r="A70" s="116"/>
      <c r="B70" s="119"/>
      <c r="C70" s="120"/>
      <c r="D70" s="185">
        <f>'2. XL-1F kh'!I17</f>
        <v>2.23</v>
      </c>
      <c r="E70" s="133">
        <f>'2. XL-1F kh'!Q17</f>
        <v>2.2400000000000002</v>
      </c>
      <c r="F70" s="133">
        <f>'2. XL-1F kh'!Y17</f>
        <v>2.35</v>
      </c>
      <c r="G70" s="133">
        <f>'2. XL-1F kh'!I55</f>
        <v>2.4</v>
      </c>
      <c r="H70" s="133">
        <f>'2. XL-1F kh'!Q55</f>
        <v>2.35</v>
      </c>
      <c r="I70" s="186">
        <f>'2. XL-1F kh'!Y55</f>
        <v>2.4</v>
      </c>
    </row>
    <row r="71" spans="1:9" ht="21.75" hidden="1" customHeight="1">
      <c r="A71" s="107">
        <v>8</v>
      </c>
      <c r="B71" s="110" t="s">
        <v>57</v>
      </c>
      <c r="C71" s="111"/>
      <c r="D71" s="185">
        <f>'2. XL-1F kh'!I18</f>
        <v>0.46765624999999994</v>
      </c>
      <c r="E71" s="133">
        <f>'2. XL-1F kh'!Q18</f>
        <v>0.47906250000000006</v>
      </c>
      <c r="F71" s="133">
        <f>'2. XL-1F kh'!Y18</f>
        <v>0.45624999999999999</v>
      </c>
      <c r="G71" s="133">
        <f>'2. XL-1F kh'!I56</f>
        <v>0.45624999999999999</v>
      </c>
      <c r="H71" s="133">
        <f>'2. XL-1F kh'!Q56</f>
        <v>0.44484374999999998</v>
      </c>
      <c r="I71" s="186">
        <f>'2. XL-1F kh'!Y56</f>
        <v>0.46765624999999994</v>
      </c>
    </row>
    <row r="72" spans="1:9" ht="21.75" hidden="1" customHeight="1">
      <c r="A72" s="107">
        <v>9</v>
      </c>
      <c r="B72" s="110" t="s">
        <v>58</v>
      </c>
      <c r="C72" s="111"/>
      <c r="D72" s="185">
        <f>'2. XL-1F kh'!I19</f>
        <v>0</v>
      </c>
      <c r="E72" s="133">
        <f>'2. XL-1F kh'!Q19</f>
        <v>0</v>
      </c>
      <c r="F72" s="133">
        <f>'2. XL-1F kh'!Y19</f>
        <v>0</v>
      </c>
      <c r="G72" s="133">
        <f>'2. XL-1F kh'!I57</f>
        <v>0</v>
      </c>
      <c r="H72" s="133">
        <f>'2. XL-1F kh'!Q57</f>
        <v>0</v>
      </c>
      <c r="I72" s="186">
        <f>'2. XL-1F kh'!Y57</f>
        <v>0</v>
      </c>
    </row>
    <row r="73" spans="1:9" ht="21.75" hidden="1" customHeight="1">
      <c r="A73" s="107">
        <v>11</v>
      </c>
      <c r="B73" s="110" t="s">
        <v>107</v>
      </c>
      <c r="C73" s="111"/>
      <c r="D73" s="185">
        <f>'2. XL-1F kh'!I20</f>
        <v>7.9843750000000005E-2</v>
      </c>
      <c r="E73" s="133">
        <f>'2. XL-1F kh'!Q20</f>
        <v>8.2125000000000004E-2</v>
      </c>
      <c r="F73" s="133">
        <f>'2. XL-1F kh'!Y20</f>
        <v>8.7828125000000007E-2</v>
      </c>
      <c r="G73" s="133">
        <f>'2. XL-1F kh'!I58</f>
        <v>6.8437499999999998E-2</v>
      </c>
      <c r="H73" s="133">
        <f>'2. XL-1F kh'!Q58</f>
        <v>0.1140625</v>
      </c>
      <c r="I73" s="186">
        <f>'2. XL-1F kh'!Y58</f>
        <v>0.10265625</v>
      </c>
    </row>
    <row r="74" spans="1:9" ht="21.75" hidden="1" customHeight="1">
      <c r="A74" s="107">
        <v>12</v>
      </c>
      <c r="B74" s="110" t="s">
        <v>106</v>
      </c>
      <c r="C74" s="111"/>
      <c r="D74" s="185">
        <f>'2. XL-1F kh'!I21</f>
        <v>1.1088000000000001E-2</v>
      </c>
      <c r="E74" s="133">
        <f>'2. XL-1F kh'!Q21</f>
        <v>1.3229999999999999E-2</v>
      </c>
      <c r="F74" s="133">
        <f>'2. XL-1F kh'!Y21</f>
        <v>1.1088000000000001E-2</v>
      </c>
      <c r="G74" s="133">
        <f>'2. XL-1F kh'!I59</f>
        <v>1.0709999999999999E-2</v>
      </c>
      <c r="H74" s="133">
        <f>'2. XL-1F kh'!Q59</f>
        <v>1.26E-2</v>
      </c>
      <c r="I74" s="186">
        <f>'2. XL-1F kh'!Y59</f>
        <v>1.008E-2</v>
      </c>
    </row>
    <row r="75" spans="1:9" ht="21.75" hidden="1" customHeight="1">
      <c r="A75" s="146"/>
      <c r="B75" s="147" t="s">
        <v>108</v>
      </c>
      <c r="C75" s="154"/>
      <c r="D75" s="187" t="s">
        <v>156</v>
      </c>
      <c r="E75" s="142"/>
      <c r="F75" s="142"/>
      <c r="G75" s="142"/>
      <c r="H75" s="142"/>
      <c r="I75" s="188"/>
    </row>
    <row r="76" spans="1:9" ht="21.75" hidden="1" customHeight="1">
      <c r="A76" s="148" t="s">
        <v>7</v>
      </c>
      <c r="B76" s="149" t="s">
        <v>60</v>
      </c>
      <c r="C76" s="150"/>
      <c r="D76" s="189">
        <v>0.25</v>
      </c>
      <c r="E76" s="145">
        <v>0.41666666666666669</v>
      </c>
      <c r="F76" s="145">
        <v>0.58333333333333337</v>
      </c>
      <c r="G76" s="145">
        <v>0.75</v>
      </c>
      <c r="H76" s="145">
        <v>0.91666666666666663</v>
      </c>
      <c r="I76" s="190">
        <v>8.3333333333333329E-2</v>
      </c>
    </row>
    <row r="77" spans="1:9" ht="21.75" hidden="1" customHeight="1">
      <c r="A77" s="126">
        <v>1</v>
      </c>
      <c r="B77" s="113" t="s">
        <v>64</v>
      </c>
      <c r="C77" s="114"/>
      <c r="D77" s="185">
        <f>'2. XL-1F kh'!I26</f>
        <v>58</v>
      </c>
      <c r="E77" s="133">
        <f>'2. XL-1F kh'!Q26</f>
        <v>57</v>
      </c>
      <c r="F77" s="133">
        <f>'2. XL-1F kh'!Y26</f>
        <v>55</v>
      </c>
      <c r="G77" s="133">
        <f>'2. XL-1F kh'!I64</f>
        <v>57</v>
      </c>
      <c r="H77" s="133">
        <f>'2. XL-1F kh'!Q64</f>
        <v>57</v>
      </c>
      <c r="I77" s="186">
        <f>'2. XL-1F kh'!Y64</f>
        <v>57</v>
      </c>
    </row>
    <row r="78" spans="1:9" ht="21.75" hidden="1" customHeight="1">
      <c r="A78" s="126">
        <v>2</v>
      </c>
      <c r="B78" s="113" t="s">
        <v>65</v>
      </c>
      <c r="C78" s="114" t="s">
        <v>65</v>
      </c>
      <c r="D78" s="185">
        <f>'2. XL-1F kh'!I27</f>
        <v>58</v>
      </c>
      <c r="E78" s="133">
        <f>'2. XL-1F kh'!Q27</f>
        <v>57</v>
      </c>
      <c r="F78" s="133">
        <f>'2. XL-1F kh'!Y27</f>
        <v>58</v>
      </c>
      <c r="G78" s="133">
        <f>'2. XL-1F kh'!I65</f>
        <v>59</v>
      </c>
      <c r="H78" s="133">
        <f>'2. XL-1F kh'!Q65</f>
        <v>59</v>
      </c>
      <c r="I78" s="186">
        <f>'2. XL-1F kh'!Y65</f>
        <v>58</v>
      </c>
    </row>
    <row r="79" spans="1:9" ht="21.75" hidden="1" customHeight="1">
      <c r="A79" s="126">
        <v>3</v>
      </c>
      <c r="B79" s="113" t="s">
        <v>67</v>
      </c>
      <c r="C79" s="114" t="s">
        <v>67</v>
      </c>
      <c r="D79" s="185">
        <f>'2. XL-1F kh'!I28</f>
        <v>52</v>
      </c>
      <c r="E79" s="133">
        <f>'2. XL-1F kh'!Q28</f>
        <v>52</v>
      </c>
      <c r="F79" s="133">
        <f>'2. XL-1F kh'!Y28</f>
        <v>52</v>
      </c>
      <c r="G79" s="133">
        <f>'2. XL-1F kh'!I66</f>
        <v>53</v>
      </c>
      <c r="H79" s="133">
        <f>'2. XL-1F kh'!Q66</f>
        <v>52</v>
      </c>
      <c r="I79" s="186">
        <f>'2. XL-1F kh'!Y66</f>
        <v>53</v>
      </c>
    </row>
    <row r="80" spans="1:9" ht="21.75" hidden="1" customHeight="1">
      <c r="A80" s="126">
        <v>4</v>
      </c>
      <c r="B80" s="113" t="s">
        <v>66</v>
      </c>
      <c r="C80" s="114" t="s">
        <v>66</v>
      </c>
      <c r="D80" s="185">
        <f>'2. XL-1F kh'!I29</f>
        <v>50</v>
      </c>
      <c r="E80" s="133">
        <f>'2. XL-1F kh'!Q29</f>
        <v>48</v>
      </c>
      <c r="F80" s="133">
        <f>'2. XL-1F kh'!Y29</f>
        <v>48</v>
      </c>
      <c r="G80" s="133">
        <f>'2. XL-1F kh'!I67</f>
        <v>49</v>
      </c>
      <c r="H80" s="133">
        <f>'2. XL-1F kh'!Q67</f>
        <v>51</v>
      </c>
      <c r="I80" s="186">
        <f>'2. XL-1F kh'!Y67</f>
        <v>49</v>
      </c>
    </row>
    <row r="81" spans="1:9" ht="21.75" hidden="1" customHeight="1">
      <c r="A81" s="126">
        <v>5</v>
      </c>
      <c r="B81" s="113" t="s">
        <v>68</v>
      </c>
      <c r="C81" s="114" t="s">
        <v>68</v>
      </c>
      <c r="D81" s="185">
        <f>'2. XL-1F kh'!I30</f>
        <v>28</v>
      </c>
      <c r="E81" s="133">
        <f>'2. XL-1F kh'!Q30</f>
        <v>29</v>
      </c>
      <c r="F81" s="133">
        <f>'2. XL-1F kh'!Y30</f>
        <v>30</v>
      </c>
      <c r="G81" s="133">
        <f>'2. XL-1F kh'!I68</f>
        <v>30</v>
      </c>
      <c r="H81" s="133">
        <f>'2. XL-1F kh'!Q68</f>
        <v>30</v>
      </c>
      <c r="I81" s="186">
        <f>'2. XL-1F kh'!Y68</f>
        <v>29</v>
      </c>
    </row>
    <row r="82" spans="1:9" ht="21.75" hidden="1" customHeight="1">
      <c r="A82" s="126">
        <v>6</v>
      </c>
      <c r="B82" s="113" t="s">
        <v>86</v>
      </c>
      <c r="C82" s="114" t="s">
        <v>86</v>
      </c>
      <c r="D82" s="185">
        <f>'2. XL-1F kh'!I31</f>
        <v>34</v>
      </c>
      <c r="E82" s="133">
        <f>'2. XL-1F kh'!Q31</f>
        <v>36</v>
      </c>
      <c r="F82" s="133">
        <f>'2. XL-1F kh'!Y31</f>
        <v>36</v>
      </c>
      <c r="G82" s="133">
        <f>'2. XL-1F kh'!I69</f>
        <v>35</v>
      </c>
      <c r="H82" s="133">
        <f>'2. XL-1F kh'!Q69</f>
        <v>35</v>
      </c>
      <c r="I82" s="186">
        <f>'2. XL-1F kh'!Y69</f>
        <v>36</v>
      </c>
    </row>
    <row r="83" spans="1:9" ht="21.75" hidden="1" customHeight="1">
      <c r="A83" s="126">
        <v>7</v>
      </c>
      <c r="B83" s="113" t="s">
        <v>69</v>
      </c>
      <c r="C83" s="114" t="s">
        <v>69</v>
      </c>
      <c r="D83" s="185">
        <f>'2. XL-1F kh'!I32</f>
        <v>53</v>
      </c>
      <c r="E83" s="133">
        <f>'2. XL-1F kh'!Q32</f>
        <v>52</v>
      </c>
      <c r="F83" s="133">
        <f>'2. XL-1F kh'!Y32</f>
        <v>52</v>
      </c>
      <c r="G83" s="133">
        <f>'2. XL-1F kh'!I70</f>
        <v>55</v>
      </c>
      <c r="H83" s="133">
        <f>'2. XL-1F kh'!Q70</f>
        <v>55</v>
      </c>
      <c r="I83" s="186">
        <f>'2. XL-1F kh'!Y70</f>
        <v>54</v>
      </c>
    </row>
    <row r="84" spans="1:9" ht="21.75" hidden="1" customHeight="1">
      <c r="A84" s="126">
        <v>8</v>
      </c>
      <c r="B84" s="109" t="s">
        <v>70</v>
      </c>
      <c r="C84" s="112" t="s">
        <v>70</v>
      </c>
      <c r="D84" s="185">
        <f>'2. XL-1F kh'!K33</f>
        <v>90</v>
      </c>
      <c r="E84" s="133">
        <f>'2. XL-1F kh'!S33</f>
        <v>92</v>
      </c>
      <c r="F84" s="133">
        <f>'2. XL-1F kh'!AA33</f>
        <v>90</v>
      </c>
      <c r="G84" s="133">
        <f>'2. XL-1F kh'!K71</f>
        <v>90</v>
      </c>
      <c r="H84" s="133">
        <f>'2. XL-1F kh'!S71</f>
        <v>86</v>
      </c>
      <c r="I84" s="186">
        <f>'2. XL-1F kh'!AA71</f>
        <v>89</v>
      </c>
    </row>
    <row r="85" spans="1:9" ht="21.75" hidden="1" customHeight="1">
      <c r="A85" s="146"/>
      <c r="B85" s="147" t="s">
        <v>109</v>
      </c>
      <c r="C85" s="154"/>
      <c r="D85" s="187" t="s">
        <v>157</v>
      </c>
      <c r="E85" s="142"/>
      <c r="F85" s="142"/>
      <c r="G85" s="142"/>
      <c r="H85" s="142"/>
      <c r="I85" s="188"/>
    </row>
    <row r="86" spans="1:9" ht="21.75" hidden="1" customHeight="1">
      <c r="A86" s="148" t="s">
        <v>7</v>
      </c>
      <c r="B86" s="149" t="s">
        <v>91</v>
      </c>
      <c r="C86" s="150"/>
      <c r="D86" s="189">
        <v>0.25</v>
      </c>
      <c r="E86" s="145">
        <v>0.41666666666666669</v>
      </c>
      <c r="F86" s="145">
        <v>0.58333333333333337</v>
      </c>
      <c r="G86" s="145">
        <v>0.75</v>
      </c>
      <c r="H86" s="145">
        <v>0.91666666666666663</v>
      </c>
      <c r="I86" s="190">
        <v>8.3333333333333329E-2</v>
      </c>
    </row>
    <row r="87" spans="1:9" ht="21.75" hidden="1" customHeight="1">
      <c r="A87" s="107">
        <v>1</v>
      </c>
      <c r="B87" s="110" t="s">
        <v>50</v>
      </c>
      <c r="C87" s="111"/>
      <c r="D87" s="185">
        <f>'2. XL-1F kh'!I36</f>
        <v>175</v>
      </c>
      <c r="E87" s="133">
        <f>'2. XL-1F kh'!Q36</f>
        <v>178</v>
      </c>
      <c r="F87" s="133">
        <f>'2. XL-1F kh'!Y36</f>
        <v>160</v>
      </c>
      <c r="G87" s="133">
        <f>'2. XL-1F kh'!I74</f>
        <v>160</v>
      </c>
      <c r="H87" s="133">
        <f>'2. XL-1F kh'!Q74</f>
        <v>165</v>
      </c>
      <c r="I87" s="186">
        <f>'2. XL-1F kh'!Y74</f>
        <v>165</v>
      </c>
    </row>
    <row r="88" spans="1:9" ht="21.75" hidden="1" customHeight="1">
      <c r="A88" s="107">
        <v>2</v>
      </c>
      <c r="B88" s="110" t="s">
        <v>85</v>
      </c>
      <c r="C88" s="111"/>
      <c r="D88" s="185">
        <f>'2. XL-1F kh'!I37</f>
        <v>30</v>
      </c>
      <c r="E88" s="133">
        <f>'2. XL-1F kh'!Q37</f>
        <v>32</v>
      </c>
      <c r="F88" s="133">
        <f>'2. XL-1F kh'!Y37</f>
        <v>24</v>
      </c>
      <c r="G88" s="133">
        <f>'2. XL-1F kh'!I75</f>
        <v>24</v>
      </c>
      <c r="H88" s="133">
        <f>'2. XL-1F kh'!Q75</f>
        <v>27</v>
      </c>
      <c r="I88" s="186">
        <f>'2. XL-1F kh'!Y75</f>
        <v>29</v>
      </c>
    </row>
    <row r="89" spans="1:9" ht="21.75" hidden="1" customHeight="1">
      <c r="A89" s="139"/>
      <c r="B89" s="139"/>
      <c r="C89" s="139"/>
      <c r="D89" s="187" t="s">
        <v>155</v>
      </c>
      <c r="E89" s="142"/>
      <c r="F89" s="142"/>
      <c r="G89" s="142"/>
      <c r="H89" s="142"/>
      <c r="I89" s="188"/>
    </row>
    <row r="90" spans="1:9" ht="21.75" hidden="1" customHeight="1">
      <c r="A90" s="139"/>
      <c r="B90" s="139"/>
      <c r="C90" s="139"/>
      <c r="D90" s="191">
        <v>0.25</v>
      </c>
      <c r="E90" s="137">
        <v>0.41666666666666669</v>
      </c>
      <c r="F90" s="137">
        <v>0.58333333333333337</v>
      </c>
      <c r="G90" s="137">
        <v>0.75</v>
      </c>
      <c r="H90" s="137">
        <v>0.91666666666666663</v>
      </c>
      <c r="I90" s="192">
        <v>8.3333333333333329E-2</v>
      </c>
    </row>
    <row r="91" spans="1:9" ht="21.75" hidden="1" customHeight="1">
      <c r="A91" s="104">
        <v>1</v>
      </c>
      <c r="B91" s="117" t="s">
        <v>130</v>
      </c>
      <c r="C91" s="123" t="s">
        <v>99</v>
      </c>
      <c r="D91" s="193">
        <f>'2. XL-1F kh'!K6</f>
        <v>0</v>
      </c>
      <c r="E91" s="140">
        <f>'2. XL-1F kh'!S6</f>
        <v>0</v>
      </c>
      <c r="F91" s="140">
        <f>'2. XL-1F kh'!AA6</f>
        <v>0</v>
      </c>
      <c r="G91" s="140">
        <f>'2. XL-1F kh'!K44</f>
        <v>0</v>
      </c>
      <c r="H91" s="140">
        <f>'2. XL-1F kh'!S44</f>
        <v>0</v>
      </c>
      <c r="I91" s="194">
        <f>'2. XL-1F kh'!AA44</f>
        <v>0</v>
      </c>
    </row>
    <row r="92" spans="1:9" ht="21.75" hidden="1" customHeight="1">
      <c r="A92" s="105"/>
      <c r="B92" s="124"/>
      <c r="C92" s="110" t="s">
        <v>100</v>
      </c>
      <c r="D92" s="193" t="e">
        <f>'2. XL-1F kh'!#REF!</f>
        <v>#REF!</v>
      </c>
      <c r="E92" s="140" t="e">
        <f>'2. XL-1F kh'!#REF!</f>
        <v>#REF!</v>
      </c>
      <c r="F92" s="140" t="e">
        <f>'2. XL-1F kh'!#REF!</f>
        <v>#REF!</v>
      </c>
      <c r="G92" s="140" t="e">
        <f>'2. XL-1F kh'!#REF!</f>
        <v>#REF!</v>
      </c>
      <c r="H92" s="140" t="e">
        <f>'2. XL-1F kh'!#REF!</f>
        <v>#REF!</v>
      </c>
      <c r="I92" s="194" t="e">
        <f>'2. XL-1F kh'!#REF!</f>
        <v>#REF!</v>
      </c>
    </row>
    <row r="93" spans="1:9" ht="21.75" hidden="1" customHeight="1">
      <c r="A93" s="106"/>
      <c r="B93" s="125"/>
      <c r="C93" s="110" t="s">
        <v>102</v>
      </c>
      <c r="D93" s="193" t="e">
        <f>'2. XL-1F kh'!#REF!</f>
        <v>#REF!</v>
      </c>
      <c r="E93" s="140" t="e">
        <f>'2. XL-1F kh'!#REF!</f>
        <v>#REF!</v>
      </c>
      <c r="F93" s="140" t="e">
        <f>'2. XL-1F kh'!#REF!</f>
        <v>#REF!</v>
      </c>
      <c r="G93" s="140" t="e">
        <f>'2. XL-1F kh'!#REF!</f>
        <v>#REF!</v>
      </c>
      <c r="H93" s="140" t="e">
        <f>'2. XL-1F kh'!#REF!</f>
        <v>#REF!</v>
      </c>
      <c r="I93" s="194" t="e">
        <f>'2. XL-1F kh'!#REF!</f>
        <v>#REF!</v>
      </c>
    </row>
    <row r="94" spans="1:9" ht="21.75" hidden="1" customHeight="1">
      <c r="A94" s="104">
        <v>2</v>
      </c>
      <c r="B94" s="117" t="s">
        <v>131</v>
      </c>
      <c r="C94" s="123" t="s">
        <v>99</v>
      </c>
      <c r="D94" s="193">
        <f>'2. XL-1F kh'!K8</f>
        <v>0</v>
      </c>
      <c r="E94" s="140">
        <f>'2. XL-1F kh'!S8</f>
        <v>0</v>
      </c>
      <c r="F94" s="140">
        <f>'2. XL-1F kh'!AA8</f>
        <v>0</v>
      </c>
      <c r="G94" s="140">
        <f>'2. XL-1F kh'!K46</f>
        <v>0</v>
      </c>
      <c r="H94" s="140">
        <f>'2. XL-1F kh'!S46</f>
        <v>0</v>
      </c>
      <c r="I94" s="194">
        <f>'2. XL-1F kh'!AA46</f>
        <v>0</v>
      </c>
    </row>
    <row r="95" spans="1:9" ht="21.75" hidden="1" customHeight="1">
      <c r="A95" s="105"/>
      <c r="B95" s="124"/>
      <c r="C95" s="110" t="s">
        <v>100</v>
      </c>
      <c r="D95" s="193" t="e">
        <f>'2. XL-1F kh'!#REF!</f>
        <v>#REF!</v>
      </c>
      <c r="E95" s="140" t="e">
        <f>'2. XL-1F kh'!#REF!</f>
        <v>#REF!</v>
      </c>
      <c r="F95" s="140" t="e">
        <f>'2. XL-1F kh'!#REF!</f>
        <v>#REF!</v>
      </c>
      <c r="G95" s="140" t="e">
        <f>'2. XL-1F kh'!#REF!</f>
        <v>#REF!</v>
      </c>
      <c r="H95" s="140" t="e">
        <f>'2. XL-1F kh'!#REF!</f>
        <v>#REF!</v>
      </c>
      <c r="I95" s="194" t="e">
        <f>'2. XL-1F kh'!#REF!</f>
        <v>#REF!</v>
      </c>
    </row>
    <row r="96" spans="1:9" ht="21.75" hidden="1" customHeight="1">
      <c r="A96" s="106"/>
      <c r="B96" s="125"/>
      <c r="C96" s="110" t="s">
        <v>102</v>
      </c>
      <c r="D96" s="193" t="e">
        <f>'2. XL-1F kh'!#REF!</f>
        <v>#REF!</v>
      </c>
      <c r="E96" s="140" t="e">
        <f>'2. XL-1F kh'!#REF!</f>
        <v>#REF!</v>
      </c>
      <c r="F96" s="140" t="e">
        <f>'2. XL-1F kh'!#REF!</f>
        <v>#REF!</v>
      </c>
      <c r="G96" s="140" t="e">
        <f>'2. XL-1F kh'!#REF!</f>
        <v>#REF!</v>
      </c>
      <c r="H96" s="140" t="e">
        <f>'2. XL-1F kh'!#REF!</f>
        <v>#REF!</v>
      </c>
      <c r="I96" s="194" t="e">
        <f>'2. XL-1F kh'!#REF!</f>
        <v>#REF!</v>
      </c>
    </row>
    <row r="97" spans="1:9" ht="21.75" hidden="1" customHeight="1">
      <c r="A97" s="104">
        <v>3</v>
      </c>
      <c r="B97" s="121" t="s">
        <v>132</v>
      </c>
      <c r="C97" s="123" t="s">
        <v>99</v>
      </c>
      <c r="D97" s="193">
        <f>'2. XL-1F kh'!K10</f>
        <v>5.5383960000000041</v>
      </c>
      <c r="E97" s="140">
        <f>'2. XL-1F kh'!S10</f>
        <v>0</v>
      </c>
      <c r="F97" s="140">
        <f>'2. XL-1F kh'!AA10</f>
        <v>0</v>
      </c>
      <c r="G97" s="140">
        <f>'2. XL-1F kh'!K48</f>
        <v>0</v>
      </c>
      <c r="H97" s="140">
        <f>'2. XL-1F kh'!S48</f>
        <v>0</v>
      </c>
      <c r="I97" s="194">
        <f>'2. XL-1F kh'!AA48</f>
        <v>0.46471199999999296</v>
      </c>
    </row>
    <row r="98" spans="1:9" ht="21.75" hidden="1" customHeight="1">
      <c r="A98" s="106"/>
      <c r="B98" s="122"/>
      <c r="C98" s="110" t="s">
        <v>103</v>
      </c>
      <c r="D98" s="193">
        <f>'2. XL-1F kh'!K11</f>
        <v>1.5507508800000012</v>
      </c>
      <c r="E98" s="140">
        <f>'2. XL-1F kh'!S11</f>
        <v>0</v>
      </c>
      <c r="F98" s="140">
        <f>'2. XL-1F kh'!AA11</f>
        <v>0</v>
      </c>
      <c r="G98" s="140">
        <f>'2. XL-1F kh'!K49</f>
        <v>0</v>
      </c>
      <c r="H98" s="140">
        <f>'2. XL-1F kh'!S49</f>
        <v>0</v>
      </c>
      <c r="I98" s="194">
        <f>'2. XL-1F kh'!AA49</f>
        <v>0.13011935999999805</v>
      </c>
    </row>
    <row r="99" spans="1:9" ht="21.75" hidden="1" customHeight="1">
      <c r="A99" s="104">
        <v>4</v>
      </c>
      <c r="B99" s="121" t="s">
        <v>133</v>
      </c>
      <c r="C99" s="123" t="s">
        <v>99</v>
      </c>
      <c r="D99" s="193">
        <f>'2. XL-1F kh'!K12</f>
        <v>1.9346340000000006</v>
      </c>
      <c r="E99" s="140">
        <f>'2. XL-1F kh'!S12</f>
        <v>0</v>
      </c>
      <c r="F99" s="140">
        <f>'2. XL-1F kh'!AA12</f>
        <v>0</v>
      </c>
      <c r="G99" s="140">
        <f>'2. XL-1F kh'!K50</f>
        <v>3.2827500000000001</v>
      </c>
      <c r="H99" s="140">
        <f>'2. XL-1F kh'!S50</f>
        <v>0</v>
      </c>
      <c r="I99" s="194">
        <f>'2. XL-1F kh'!AA50</f>
        <v>0</v>
      </c>
    </row>
    <row r="100" spans="1:9" ht="21.75" hidden="1" customHeight="1">
      <c r="A100" s="106"/>
      <c r="B100" s="122"/>
      <c r="C100" s="110" t="s">
        <v>103</v>
      </c>
      <c r="D100" s="193">
        <f>'2. XL-1F kh'!K13</f>
        <v>0.54169752000000015</v>
      </c>
      <c r="E100" s="140">
        <f>'2. XL-1F kh'!S13</f>
        <v>0</v>
      </c>
      <c r="F100" s="140">
        <f>'2. XL-1F kh'!AA13</f>
        <v>0</v>
      </c>
      <c r="G100" s="140">
        <f>'2. XL-1F kh'!K51</f>
        <v>0.91917000000000004</v>
      </c>
      <c r="H100" s="140">
        <f>'2. XL-1F kh'!S51</f>
        <v>0</v>
      </c>
      <c r="I100" s="194">
        <f>'2. XL-1F kh'!AA51</f>
        <v>0</v>
      </c>
    </row>
    <row r="101" spans="1:9" ht="21.75" hidden="1" customHeight="1">
      <c r="A101" s="107">
        <v>5</v>
      </c>
      <c r="B101" s="110" t="s">
        <v>78</v>
      </c>
      <c r="C101" s="111"/>
      <c r="D101" s="193">
        <f>'2. XL-1F kh'!K14</f>
        <v>0</v>
      </c>
      <c r="E101" s="140">
        <f>'2. XL-1F kh'!S14</f>
        <v>0</v>
      </c>
      <c r="F101" s="140">
        <f>'2. XL-1F kh'!AA14</f>
        <v>0</v>
      </c>
      <c r="G101" s="140">
        <f>'2. XL-1F kh'!K52</f>
        <v>0</v>
      </c>
      <c r="H101" s="140">
        <f>'2. XL-1F kh'!S52</f>
        <v>0</v>
      </c>
      <c r="I101" s="194">
        <f>'2. XL-1F kh'!AA52</f>
        <v>0</v>
      </c>
    </row>
    <row r="102" spans="1:9" ht="21.75" hidden="1" customHeight="1">
      <c r="A102" s="107">
        <v>6</v>
      </c>
      <c r="B102" s="110" t="s">
        <v>56</v>
      </c>
      <c r="C102" s="111"/>
      <c r="D102" s="193">
        <f>'2. XL-1F kh'!K15</f>
        <v>0</v>
      </c>
      <c r="E102" s="140">
        <f>'2. XL-1F kh'!S15</f>
        <v>4.9877500000000001</v>
      </c>
      <c r="F102" s="140">
        <f>'2. XL-1F kh'!AA15</f>
        <v>4.9877500000000001</v>
      </c>
      <c r="G102" s="140">
        <f>'2. XL-1F kh'!K53</f>
        <v>2.39412000000002</v>
      </c>
      <c r="H102" s="140">
        <f>'2. XL-1F kh'!S53</f>
        <v>2.39412000000002</v>
      </c>
      <c r="I102" s="194">
        <f>'2. XL-1F kh'!AA53</f>
        <v>0</v>
      </c>
    </row>
    <row r="103" spans="1:9" ht="21.75" hidden="1" customHeight="1">
      <c r="A103" s="115">
        <v>7</v>
      </c>
      <c r="B103" s="117" t="s">
        <v>105</v>
      </c>
      <c r="C103" s="118"/>
      <c r="D103" s="193">
        <f>'2. XL-1F kh'!K16</f>
        <v>0</v>
      </c>
      <c r="E103" s="140">
        <f>'2. XL-1F kh'!S16</f>
        <v>0</v>
      </c>
      <c r="F103" s="140">
        <f>'2. XL-1F kh'!AA16</f>
        <v>0</v>
      </c>
      <c r="G103" s="140">
        <f>'2. XL-1F kh'!K54</f>
        <v>0</v>
      </c>
      <c r="H103" s="140">
        <f>'2. XL-1F kh'!S54</f>
        <v>0</v>
      </c>
      <c r="I103" s="194">
        <f>'2. XL-1F kh'!AA54</f>
        <v>2.875</v>
      </c>
    </row>
    <row r="104" spans="1:9" ht="21.75" hidden="1" customHeight="1">
      <c r="A104" s="116"/>
      <c r="B104" s="119"/>
      <c r="C104" s="120"/>
      <c r="D104" s="193">
        <f>'2. XL-1F kh'!K17</f>
        <v>0</v>
      </c>
      <c r="E104" s="140">
        <f>'2. XL-1F kh'!S17</f>
        <v>0</v>
      </c>
      <c r="F104" s="140">
        <f>'2. XL-1F kh'!AA17</f>
        <v>0</v>
      </c>
      <c r="G104" s="140">
        <f>'2. XL-1F kh'!K55</f>
        <v>0</v>
      </c>
      <c r="H104" s="140">
        <f>'2. XL-1F kh'!S55</f>
        <v>0</v>
      </c>
      <c r="I104" s="194">
        <f>'2. XL-1F kh'!AA55</f>
        <v>0</v>
      </c>
    </row>
    <row r="105" spans="1:9" ht="21.75" hidden="1" customHeight="1">
      <c r="A105" s="107">
        <v>8</v>
      </c>
      <c r="B105" s="110" t="s">
        <v>57</v>
      </c>
      <c r="C105" s="111"/>
      <c r="D105" s="193">
        <f>'2. XL-1F kh'!K18</f>
        <v>0</v>
      </c>
      <c r="E105" s="140">
        <f>'2. XL-1F kh'!S18</f>
        <v>0</v>
      </c>
      <c r="F105" s="140">
        <f>'2. XL-1F kh'!AA18</f>
        <v>0</v>
      </c>
      <c r="G105" s="140">
        <f>'2. XL-1F kh'!K56</f>
        <v>0</v>
      </c>
      <c r="H105" s="140">
        <f>'2. XL-1F kh'!S56</f>
        <v>10.941562500000062</v>
      </c>
      <c r="I105" s="194">
        <f>'2. XL-1F kh'!AA56</f>
        <v>0</v>
      </c>
    </row>
    <row r="106" spans="1:9" ht="21.75" hidden="1" customHeight="1">
      <c r="A106" s="107">
        <v>9</v>
      </c>
      <c r="B106" s="110" t="s">
        <v>58</v>
      </c>
      <c r="C106" s="111"/>
      <c r="D106" s="193">
        <f>'2. XL-1F kh'!K19</f>
        <v>134.64000000000001</v>
      </c>
      <c r="E106" s="140">
        <f>'2. XL-1F kh'!S19</f>
        <v>134.64000000000001</v>
      </c>
      <c r="F106" s="140">
        <f>'2. XL-1F kh'!AA19</f>
        <v>134.64000000000001</v>
      </c>
      <c r="G106" s="140">
        <f>'2. XL-1F kh'!K57</f>
        <v>134.64000000000001</v>
      </c>
      <c r="H106" s="140">
        <f>'2. XL-1F kh'!S57</f>
        <v>134.64000000000001</v>
      </c>
      <c r="I106" s="194">
        <f>'2. XL-1F kh'!AA57</f>
        <v>134.64000000000001</v>
      </c>
    </row>
    <row r="107" spans="1:9" ht="21.75" hidden="1" customHeight="1">
      <c r="A107" s="107">
        <v>11</v>
      </c>
      <c r="B107" s="110" t="s">
        <v>107</v>
      </c>
      <c r="C107" s="111"/>
      <c r="D107" s="193">
        <f>'2. XL-1F kh'!K20</f>
        <v>11.58984375</v>
      </c>
      <c r="E107" s="140">
        <f>'2. XL-1F kh'!S20</f>
        <v>10.278125000000001</v>
      </c>
      <c r="F107" s="140">
        <f>'2. XL-1F kh'!AA20</f>
        <v>6.9988281249999993</v>
      </c>
      <c r="G107" s="140">
        <f>'2. XL-1F kh'!K58</f>
        <v>18.148437500000004</v>
      </c>
      <c r="H107" s="140">
        <f>'2. XL-1F kh'!S58</f>
        <v>0</v>
      </c>
      <c r="I107" s="194">
        <f>'2. XL-1F kh'!AA58</f>
        <v>0</v>
      </c>
    </row>
    <row r="108" spans="1:9" ht="21.75" hidden="1" customHeight="1">
      <c r="A108" s="107">
        <v>12</v>
      </c>
      <c r="B108" s="110" t="s">
        <v>106</v>
      </c>
      <c r="C108" s="111"/>
      <c r="D108" s="195">
        <f>'2. XL-1F kh'!K21</f>
        <v>0</v>
      </c>
      <c r="E108" s="144">
        <f>'2. XL-1F kh'!S21</f>
        <v>0</v>
      </c>
      <c r="F108" s="144">
        <f>'2. XL-1F kh'!AA21</f>
        <v>0</v>
      </c>
      <c r="G108" s="144">
        <f>'2. XL-1F kh'!K59</f>
        <v>0</v>
      </c>
      <c r="H108" s="144">
        <f>'2. XL-1F kh'!S59</f>
        <v>0</v>
      </c>
      <c r="I108" s="196">
        <f>'2. XL-1F kh'!AA59</f>
        <v>0</v>
      </c>
    </row>
    <row r="109" spans="1:9" ht="21.75" hidden="1" customHeight="1">
      <c r="D109" s="185"/>
      <c r="E109" s="133"/>
      <c r="F109" s="133"/>
      <c r="G109" s="133"/>
      <c r="H109" s="133"/>
      <c r="I109" s="186"/>
    </row>
    <row r="110" spans="1:9" ht="39" hidden="1" customHeight="1">
      <c r="A110" s="168"/>
      <c r="B110" s="166" t="s">
        <v>208</v>
      </c>
      <c r="C110" s="169"/>
      <c r="D110" s="197"/>
      <c r="E110" s="170"/>
      <c r="F110" s="133"/>
      <c r="G110" s="133"/>
      <c r="H110" s="133"/>
      <c r="I110" s="186"/>
    </row>
    <row r="111" spans="1:9" ht="21.75" hidden="1" customHeight="1">
      <c r="A111" s="163" t="s">
        <v>7</v>
      </c>
      <c r="B111" s="151"/>
      <c r="C111" s="151"/>
      <c r="D111" s="187" t="s">
        <v>154</v>
      </c>
      <c r="E111" s="142"/>
      <c r="F111" s="142"/>
      <c r="G111" s="142"/>
      <c r="H111" s="142"/>
      <c r="I111" s="188"/>
    </row>
    <row r="112" spans="1:9" ht="21.75" hidden="1" customHeight="1">
      <c r="A112" s="164"/>
      <c r="B112" s="160"/>
      <c r="C112" s="160"/>
      <c r="D112" s="191">
        <v>0.25</v>
      </c>
      <c r="E112" s="137">
        <v>0.41666666666666669</v>
      </c>
      <c r="F112" s="137">
        <v>0.58333333333333337</v>
      </c>
      <c r="G112" s="137">
        <v>0.75</v>
      </c>
      <c r="H112" s="137">
        <v>0.91666666666666663</v>
      </c>
      <c r="I112" s="192">
        <v>8.3333333333333329E-2</v>
      </c>
    </row>
    <row r="113" spans="1:9" ht="21.75" hidden="1" customHeight="1">
      <c r="A113" s="3500">
        <v>1</v>
      </c>
      <c r="B113" s="3502" t="s">
        <v>130</v>
      </c>
      <c r="C113" s="171" t="s">
        <v>99</v>
      </c>
      <c r="D113" s="185"/>
      <c r="E113" s="133"/>
      <c r="F113" s="133"/>
      <c r="G113" s="133"/>
      <c r="H113" s="133"/>
      <c r="I113" s="186"/>
    </row>
    <row r="114" spans="1:9" ht="21.75" hidden="1" customHeight="1">
      <c r="A114" s="3500"/>
      <c r="B114" s="3503"/>
      <c r="C114" s="172" t="s">
        <v>100</v>
      </c>
      <c r="D114" s="185"/>
      <c r="E114" s="133"/>
      <c r="F114" s="133"/>
      <c r="G114" s="133"/>
      <c r="H114" s="133"/>
      <c r="I114" s="186"/>
    </row>
    <row r="115" spans="1:9" ht="21.75" hidden="1" customHeight="1">
      <c r="A115" s="3501"/>
      <c r="B115" s="3504"/>
      <c r="C115" s="120" t="s">
        <v>102</v>
      </c>
      <c r="D115" s="183"/>
      <c r="E115" s="134"/>
      <c r="F115" s="134"/>
      <c r="G115" s="134"/>
      <c r="H115" s="134"/>
      <c r="I115" s="184"/>
    </row>
    <row r="116" spans="1:9" ht="21.75" hidden="1" customHeight="1">
      <c r="A116" s="3409">
        <v>2</v>
      </c>
      <c r="B116" s="3505" t="s">
        <v>131</v>
      </c>
      <c r="C116" s="125" t="s">
        <v>99</v>
      </c>
      <c r="D116" s="185"/>
      <c r="E116" s="133"/>
      <c r="F116" s="133"/>
      <c r="G116" s="133"/>
      <c r="H116" s="133"/>
      <c r="I116" s="186"/>
    </row>
    <row r="117" spans="1:9" ht="21.75" hidden="1" customHeight="1">
      <c r="A117" s="3409"/>
      <c r="B117" s="3380"/>
      <c r="C117" s="110" t="s">
        <v>100</v>
      </c>
      <c r="D117" s="185"/>
      <c r="E117" s="133"/>
      <c r="F117" s="133"/>
      <c r="G117" s="133"/>
      <c r="H117" s="133"/>
      <c r="I117" s="186"/>
    </row>
    <row r="118" spans="1:9" ht="21.75" hidden="1" customHeight="1">
      <c r="A118" s="3375"/>
      <c r="B118" s="3382"/>
      <c r="C118" s="110" t="s">
        <v>102</v>
      </c>
      <c r="D118" s="185"/>
      <c r="E118" s="133"/>
      <c r="F118" s="133"/>
      <c r="G118" s="133"/>
      <c r="H118" s="133"/>
      <c r="I118" s="186"/>
    </row>
    <row r="119" spans="1:9" ht="21.75" hidden="1" customHeight="1">
      <c r="A119" s="3374">
        <v>3</v>
      </c>
      <c r="B119" s="3386" t="s">
        <v>132</v>
      </c>
      <c r="C119" s="123" t="s">
        <v>99</v>
      </c>
      <c r="D119" s="185"/>
      <c r="E119" s="133"/>
      <c r="F119" s="133"/>
      <c r="G119" s="133"/>
      <c r="H119" s="133"/>
      <c r="I119" s="186"/>
    </row>
    <row r="120" spans="1:9" ht="21.75" hidden="1" customHeight="1">
      <c r="A120" s="3375"/>
      <c r="B120" s="3387"/>
      <c r="C120" s="110" t="s">
        <v>103</v>
      </c>
      <c r="D120" s="185"/>
      <c r="E120" s="133"/>
      <c r="F120" s="133"/>
      <c r="G120" s="133"/>
      <c r="H120" s="133"/>
      <c r="I120" s="186"/>
    </row>
    <row r="121" spans="1:9" ht="21.75" hidden="1" customHeight="1">
      <c r="A121" s="3374">
        <v>4</v>
      </c>
      <c r="B121" s="3386" t="s">
        <v>133</v>
      </c>
      <c r="C121" s="123" t="s">
        <v>99</v>
      </c>
      <c r="D121" s="185"/>
      <c r="E121" s="133"/>
      <c r="F121" s="133"/>
      <c r="G121" s="133"/>
      <c r="H121" s="133"/>
      <c r="I121" s="186"/>
    </row>
    <row r="122" spans="1:9" ht="21.75" hidden="1" customHeight="1">
      <c r="A122" s="3375"/>
      <c r="B122" s="3387"/>
      <c r="C122" s="110" t="s">
        <v>103</v>
      </c>
      <c r="D122" s="185"/>
      <c r="E122" s="133"/>
      <c r="F122" s="133"/>
      <c r="G122" s="133"/>
      <c r="H122" s="133"/>
      <c r="I122" s="186"/>
    </row>
    <row r="123" spans="1:9" ht="21.75" hidden="1" customHeight="1">
      <c r="A123" s="107">
        <v>5</v>
      </c>
      <c r="B123" s="3256" t="s">
        <v>78</v>
      </c>
      <c r="C123" s="3369"/>
      <c r="D123" s="185"/>
      <c r="E123" s="133"/>
      <c r="F123" s="133"/>
      <c r="G123" s="133"/>
      <c r="H123" s="133"/>
      <c r="I123" s="186"/>
    </row>
    <row r="124" spans="1:9" ht="21.75" hidden="1" customHeight="1">
      <c r="A124" s="107">
        <v>6</v>
      </c>
      <c r="B124" s="3256" t="s">
        <v>56</v>
      </c>
      <c r="C124" s="3369"/>
      <c r="D124" s="185"/>
      <c r="E124" s="133"/>
      <c r="F124" s="133"/>
      <c r="G124" s="133"/>
      <c r="H124" s="133"/>
      <c r="I124" s="186"/>
    </row>
    <row r="125" spans="1:9" ht="21.75" hidden="1" customHeight="1">
      <c r="A125" s="3498">
        <v>7</v>
      </c>
      <c r="B125" s="3143" t="s">
        <v>148</v>
      </c>
      <c r="C125" s="3144"/>
      <c r="D125" s="185"/>
      <c r="E125" s="133"/>
      <c r="F125" s="133"/>
      <c r="G125" s="133"/>
      <c r="H125" s="133"/>
      <c r="I125" s="186"/>
    </row>
    <row r="126" spans="1:9" ht="21.75" hidden="1" customHeight="1">
      <c r="A126" s="3499"/>
      <c r="B126" s="3146"/>
      <c r="C126" s="3147"/>
      <c r="D126" s="185"/>
      <c r="E126" s="133"/>
      <c r="F126" s="133"/>
      <c r="G126" s="133"/>
      <c r="H126" s="133"/>
      <c r="I126" s="186"/>
    </row>
    <row r="127" spans="1:9" ht="21.75" hidden="1" customHeight="1">
      <c r="A127" s="107">
        <v>8</v>
      </c>
      <c r="B127" s="3256" t="s">
        <v>57</v>
      </c>
      <c r="C127" s="3369"/>
      <c r="D127" s="185"/>
      <c r="E127" s="133"/>
      <c r="F127" s="133"/>
      <c r="G127" s="133"/>
      <c r="H127" s="133"/>
      <c r="I127" s="186"/>
    </row>
    <row r="128" spans="1:9" ht="21.75" hidden="1" customHeight="1">
      <c r="A128" s="107">
        <v>9</v>
      </c>
      <c r="B128" s="3256" t="s">
        <v>58</v>
      </c>
      <c r="C128" s="3369"/>
      <c r="D128" s="185"/>
      <c r="E128" s="133"/>
      <c r="F128" s="133"/>
      <c r="G128" s="133"/>
      <c r="H128" s="133"/>
      <c r="I128" s="186"/>
    </row>
    <row r="129" spans="1:9" ht="21.75" hidden="1" customHeight="1">
      <c r="A129" s="107">
        <v>10</v>
      </c>
      <c r="B129" s="3256" t="s">
        <v>106</v>
      </c>
      <c r="C129" s="3369"/>
      <c r="D129" s="185"/>
      <c r="E129" s="133"/>
      <c r="F129" s="133"/>
      <c r="G129" s="133"/>
      <c r="H129" s="133"/>
      <c r="I129" s="186"/>
    </row>
    <row r="130" spans="1:9" ht="21.75" hidden="1" customHeight="1">
      <c r="A130" s="146"/>
      <c r="B130" s="147" t="s">
        <v>108</v>
      </c>
      <c r="C130" s="154"/>
      <c r="D130" s="187" t="s">
        <v>156</v>
      </c>
      <c r="E130" s="142"/>
      <c r="F130" s="142"/>
      <c r="G130" s="142"/>
      <c r="H130" s="142"/>
      <c r="I130" s="188"/>
    </row>
    <row r="131" spans="1:9" ht="21.75" hidden="1" customHeight="1">
      <c r="A131" s="148" t="s">
        <v>7</v>
      </c>
      <c r="B131" s="149" t="s">
        <v>60</v>
      </c>
      <c r="C131" s="150"/>
      <c r="D131" s="189">
        <v>0.25</v>
      </c>
      <c r="E131" s="145">
        <v>0.41666666666666669</v>
      </c>
      <c r="F131" s="145">
        <v>0.58333333333333337</v>
      </c>
      <c r="G131" s="145">
        <v>0.75</v>
      </c>
      <c r="H131" s="145">
        <v>0.91666666666666663</v>
      </c>
      <c r="I131" s="190">
        <v>8.3333333333333329E-2</v>
      </c>
    </row>
    <row r="132" spans="1:9" ht="21.75" hidden="1" customHeight="1">
      <c r="A132" s="126">
        <v>1</v>
      </c>
      <c r="B132" s="3134" t="s">
        <v>64</v>
      </c>
      <c r="C132" s="3135"/>
      <c r="D132" s="185"/>
      <c r="E132" s="133"/>
      <c r="F132" s="133"/>
      <c r="G132" s="133"/>
      <c r="H132" s="133"/>
      <c r="I132" s="186"/>
    </row>
    <row r="133" spans="1:9" ht="21.75" hidden="1" customHeight="1">
      <c r="A133" s="126">
        <v>2</v>
      </c>
      <c r="B133" s="3134" t="s">
        <v>65</v>
      </c>
      <c r="C133" s="3135" t="s">
        <v>65</v>
      </c>
      <c r="D133" s="185"/>
      <c r="E133" s="133"/>
      <c r="F133" s="133"/>
      <c r="G133" s="133"/>
      <c r="H133" s="133"/>
      <c r="I133" s="186"/>
    </row>
    <row r="134" spans="1:9" ht="21.75" hidden="1" customHeight="1">
      <c r="A134" s="126">
        <v>3</v>
      </c>
      <c r="B134" s="3134" t="s">
        <v>67</v>
      </c>
      <c r="C134" s="3135" t="s">
        <v>67</v>
      </c>
      <c r="D134" s="185"/>
      <c r="E134" s="133"/>
      <c r="F134" s="133"/>
      <c r="G134" s="133"/>
      <c r="H134" s="133"/>
      <c r="I134" s="186"/>
    </row>
    <row r="135" spans="1:9" ht="21.75" hidden="1" customHeight="1">
      <c r="A135" s="126">
        <v>4</v>
      </c>
      <c r="B135" s="3134" t="s">
        <v>66</v>
      </c>
      <c r="C135" s="3135" t="s">
        <v>66</v>
      </c>
      <c r="D135" s="185"/>
      <c r="E135" s="133"/>
      <c r="F135" s="133"/>
      <c r="G135" s="133"/>
      <c r="H135" s="133"/>
      <c r="I135" s="186"/>
    </row>
    <row r="136" spans="1:9" ht="21.75" hidden="1" customHeight="1">
      <c r="A136" s="126">
        <v>5</v>
      </c>
      <c r="B136" s="3134" t="s">
        <v>68</v>
      </c>
      <c r="C136" s="3135" t="s">
        <v>68</v>
      </c>
      <c r="D136" s="185"/>
      <c r="E136" s="133"/>
      <c r="F136" s="133"/>
      <c r="G136" s="133"/>
      <c r="H136" s="133"/>
      <c r="I136" s="186"/>
    </row>
    <row r="137" spans="1:9" ht="21.75" hidden="1" customHeight="1">
      <c r="A137" s="126">
        <v>6</v>
      </c>
      <c r="B137" s="3134" t="s">
        <v>86</v>
      </c>
      <c r="C137" s="3135" t="s">
        <v>86</v>
      </c>
      <c r="D137" s="185"/>
      <c r="E137" s="133"/>
      <c r="F137" s="133"/>
      <c r="G137" s="133"/>
      <c r="H137" s="133"/>
      <c r="I137" s="186"/>
    </row>
    <row r="138" spans="1:9" ht="21.75" hidden="1" customHeight="1">
      <c r="A138" s="126">
        <v>7</v>
      </c>
      <c r="B138" s="3134" t="s">
        <v>69</v>
      </c>
      <c r="C138" s="3135" t="s">
        <v>69</v>
      </c>
      <c r="D138" s="185"/>
      <c r="E138" s="133"/>
      <c r="F138" s="133"/>
      <c r="G138" s="133"/>
      <c r="H138" s="133"/>
      <c r="I138" s="186"/>
    </row>
    <row r="139" spans="1:9" ht="21.75" hidden="1" customHeight="1">
      <c r="A139" s="126">
        <v>8</v>
      </c>
      <c r="B139" s="3134" t="s">
        <v>70</v>
      </c>
      <c r="C139" s="3135" t="s">
        <v>70</v>
      </c>
      <c r="D139" s="185"/>
      <c r="E139" s="133"/>
      <c r="F139" s="133"/>
      <c r="G139" s="133"/>
      <c r="H139" s="133"/>
      <c r="I139" s="186"/>
    </row>
    <row r="140" spans="1:9" ht="21.75" hidden="1" customHeight="1">
      <c r="A140" s="146"/>
      <c r="B140" s="147" t="s">
        <v>109</v>
      </c>
      <c r="C140" s="154"/>
      <c r="D140" s="187"/>
      <c r="E140" s="142"/>
      <c r="F140" s="142"/>
      <c r="G140" s="142"/>
      <c r="H140" s="142"/>
      <c r="I140" s="188"/>
    </row>
    <row r="141" spans="1:9" ht="21.75" hidden="1" customHeight="1">
      <c r="A141" s="148" t="s">
        <v>7</v>
      </c>
      <c r="B141" s="149" t="s">
        <v>91</v>
      </c>
      <c r="C141" s="150"/>
      <c r="D141" s="189"/>
      <c r="E141" s="145"/>
      <c r="F141" s="145"/>
      <c r="G141" s="145"/>
      <c r="H141" s="145"/>
      <c r="I141" s="190"/>
    </row>
    <row r="142" spans="1:9" ht="21.75" hidden="1" customHeight="1">
      <c r="A142" s="107">
        <v>1</v>
      </c>
      <c r="B142" s="3256" t="s">
        <v>50</v>
      </c>
      <c r="C142" s="3369"/>
      <c r="D142" s="185"/>
      <c r="E142" s="133"/>
      <c r="F142" s="133"/>
      <c r="G142" s="133"/>
      <c r="H142" s="133"/>
      <c r="I142" s="186"/>
    </row>
    <row r="143" spans="1:9" ht="21.75" hidden="1" customHeight="1">
      <c r="A143" s="107">
        <v>2</v>
      </c>
      <c r="B143" s="3256" t="s">
        <v>85</v>
      </c>
      <c r="C143" s="3369"/>
      <c r="D143" s="185"/>
      <c r="E143" s="133"/>
      <c r="F143" s="133"/>
      <c r="G143" s="133"/>
      <c r="H143" s="133"/>
      <c r="I143" s="186"/>
    </row>
    <row r="144" spans="1:9" ht="21.75" hidden="1" customHeight="1">
      <c r="A144" s="139"/>
      <c r="B144" s="139"/>
      <c r="C144" s="139"/>
      <c r="D144" s="187" t="s">
        <v>155</v>
      </c>
      <c r="E144" s="142"/>
      <c r="F144" s="142"/>
      <c r="G144" s="142"/>
      <c r="H144" s="142"/>
      <c r="I144" s="188"/>
    </row>
    <row r="145" spans="1:9" ht="21.75" hidden="1" customHeight="1">
      <c r="A145" s="139"/>
      <c r="B145" s="139"/>
      <c r="C145" s="139"/>
      <c r="D145" s="191">
        <v>0.25</v>
      </c>
      <c r="E145" s="137">
        <v>0.41666666666666669</v>
      </c>
      <c r="F145" s="137">
        <v>0.58333333333333337</v>
      </c>
      <c r="G145" s="137">
        <v>0.75</v>
      </c>
      <c r="H145" s="137">
        <v>0.91666666666666663</v>
      </c>
      <c r="I145" s="192">
        <v>8.3333333333333329E-2</v>
      </c>
    </row>
    <row r="146" spans="1:9" ht="21.75" hidden="1" customHeight="1">
      <c r="A146" s="3374">
        <v>1</v>
      </c>
      <c r="B146" s="3143" t="s">
        <v>130</v>
      </c>
      <c r="C146" s="123" t="s">
        <v>99</v>
      </c>
      <c r="D146" s="198"/>
      <c r="E146" s="155"/>
      <c r="F146" s="155"/>
      <c r="G146" s="155"/>
      <c r="H146" s="155"/>
      <c r="I146" s="199"/>
    </row>
    <row r="147" spans="1:9" ht="21.75" hidden="1" customHeight="1">
      <c r="A147" s="3409"/>
      <c r="B147" s="3380"/>
      <c r="C147" s="110" t="s">
        <v>100</v>
      </c>
      <c r="D147" s="193"/>
      <c r="E147" s="140"/>
      <c r="F147" s="140"/>
      <c r="G147" s="140"/>
      <c r="H147" s="140"/>
      <c r="I147" s="194"/>
    </row>
    <row r="148" spans="1:9" ht="21.75" hidden="1" customHeight="1">
      <c r="A148" s="3375"/>
      <c r="B148" s="3382"/>
      <c r="C148" s="110" t="s">
        <v>102</v>
      </c>
      <c r="D148" s="193"/>
      <c r="E148" s="140"/>
      <c r="F148" s="140"/>
      <c r="G148" s="140"/>
      <c r="H148" s="140"/>
      <c r="I148" s="194"/>
    </row>
    <row r="149" spans="1:9" ht="21.75" hidden="1" customHeight="1">
      <c r="A149" s="3374">
        <v>2</v>
      </c>
      <c r="B149" s="3143" t="s">
        <v>131</v>
      </c>
      <c r="C149" s="123" t="s">
        <v>99</v>
      </c>
      <c r="D149" s="193"/>
      <c r="E149" s="140"/>
      <c r="F149" s="140"/>
      <c r="G149" s="140"/>
      <c r="H149" s="140"/>
      <c r="I149" s="194"/>
    </row>
    <row r="150" spans="1:9" ht="21.75" hidden="1" customHeight="1">
      <c r="A150" s="3409"/>
      <c r="B150" s="3380"/>
      <c r="C150" s="110" t="s">
        <v>100</v>
      </c>
      <c r="D150" s="193"/>
      <c r="E150" s="140"/>
      <c r="F150" s="140"/>
      <c r="G150" s="140"/>
      <c r="H150" s="140"/>
      <c r="I150" s="194"/>
    </row>
    <row r="151" spans="1:9" ht="21.75" hidden="1" customHeight="1">
      <c r="A151" s="3375"/>
      <c r="B151" s="3382"/>
      <c r="C151" s="110" t="s">
        <v>102</v>
      </c>
      <c r="D151" s="193"/>
      <c r="E151" s="140"/>
      <c r="F151" s="140"/>
      <c r="G151" s="140"/>
      <c r="H151" s="140"/>
      <c r="I151" s="194"/>
    </row>
    <row r="152" spans="1:9" ht="21.75" hidden="1" customHeight="1">
      <c r="A152" s="3374">
        <v>3</v>
      </c>
      <c r="B152" s="3386" t="s">
        <v>132</v>
      </c>
      <c r="C152" s="123" t="s">
        <v>99</v>
      </c>
      <c r="D152" s="193"/>
      <c r="E152" s="140"/>
      <c r="F152" s="140"/>
      <c r="G152" s="140"/>
      <c r="H152" s="140"/>
      <c r="I152" s="194"/>
    </row>
    <row r="153" spans="1:9" ht="21.75" hidden="1" customHeight="1">
      <c r="A153" s="3375"/>
      <c r="B153" s="3387"/>
      <c r="C153" s="110" t="s">
        <v>103</v>
      </c>
      <c r="D153" s="193"/>
      <c r="E153" s="140"/>
      <c r="F153" s="140"/>
      <c r="G153" s="140"/>
      <c r="H153" s="140"/>
      <c r="I153" s="194"/>
    </row>
    <row r="154" spans="1:9" ht="21.75" hidden="1" customHeight="1">
      <c r="A154" s="3374">
        <v>4</v>
      </c>
      <c r="B154" s="3386" t="s">
        <v>133</v>
      </c>
      <c r="C154" s="123" t="s">
        <v>99</v>
      </c>
      <c r="D154" s="193"/>
      <c r="E154" s="140"/>
      <c r="F154" s="140"/>
      <c r="G154" s="140"/>
      <c r="H154" s="140"/>
      <c r="I154" s="194"/>
    </row>
    <row r="155" spans="1:9" ht="21.75" hidden="1" customHeight="1">
      <c r="A155" s="3375"/>
      <c r="B155" s="3387"/>
      <c r="C155" s="110" t="s">
        <v>103</v>
      </c>
      <c r="D155" s="193"/>
      <c r="E155" s="140"/>
      <c r="F155" s="140"/>
      <c r="G155" s="140"/>
      <c r="H155" s="140"/>
      <c r="I155" s="194"/>
    </row>
    <row r="156" spans="1:9" ht="21.75" hidden="1" customHeight="1">
      <c r="A156" s="107">
        <v>5</v>
      </c>
      <c r="B156" s="3256" t="s">
        <v>78</v>
      </c>
      <c r="C156" s="3369"/>
      <c r="D156" s="193"/>
      <c r="E156" s="140"/>
      <c r="F156" s="140"/>
      <c r="G156" s="140"/>
      <c r="H156" s="140"/>
      <c r="I156" s="194"/>
    </row>
    <row r="157" spans="1:9" ht="21.75" hidden="1" customHeight="1">
      <c r="A157" s="107">
        <v>6</v>
      </c>
      <c r="B157" s="3256" t="s">
        <v>56</v>
      </c>
      <c r="C157" s="3369"/>
      <c r="D157" s="193"/>
      <c r="E157" s="140"/>
      <c r="F157" s="140"/>
      <c r="G157" s="140"/>
      <c r="H157" s="140"/>
      <c r="I157" s="194"/>
    </row>
    <row r="158" spans="1:9" ht="21.75" hidden="1" customHeight="1">
      <c r="A158" s="3498">
        <v>7</v>
      </c>
      <c r="B158" s="3143" t="s">
        <v>148</v>
      </c>
      <c r="C158" s="3144"/>
      <c r="D158" s="193"/>
      <c r="E158" s="140"/>
      <c r="F158" s="140"/>
      <c r="G158" s="140"/>
      <c r="H158" s="140"/>
      <c r="I158" s="194"/>
    </row>
    <row r="159" spans="1:9" ht="21.75" hidden="1" customHeight="1">
      <c r="A159" s="3499"/>
      <c r="B159" s="3146"/>
      <c r="C159" s="3147"/>
      <c r="D159" s="193"/>
      <c r="E159" s="140"/>
      <c r="F159" s="140"/>
      <c r="G159" s="140"/>
      <c r="H159" s="140"/>
      <c r="I159" s="194"/>
    </row>
    <row r="160" spans="1:9" ht="21.75" hidden="1" customHeight="1">
      <c r="A160" s="107">
        <v>8</v>
      </c>
      <c r="B160" s="3256" t="s">
        <v>57</v>
      </c>
      <c r="C160" s="3369"/>
      <c r="D160" s="193"/>
      <c r="E160" s="140"/>
      <c r="F160" s="140"/>
      <c r="G160" s="140"/>
      <c r="H160" s="140"/>
      <c r="I160" s="194"/>
    </row>
    <row r="161" spans="1:9" ht="21.75" hidden="1" customHeight="1">
      <c r="A161" s="107">
        <v>9</v>
      </c>
      <c r="B161" s="3256" t="s">
        <v>58</v>
      </c>
      <c r="C161" s="3369"/>
      <c r="D161" s="193"/>
      <c r="E161" s="140"/>
      <c r="F161" s="140"/>
      <c r="G161" s="140"/>
      <c r="H161" s="140"/>
      <c r="I161" s="194"/>
    </row>
    <row r="162" spans="1:9" ht="21.75" hidden="1" customHeight="1">
      <c r="A162" s="107">
        <v>10</v>
      </c>
      <c r="B162" s="3256" t="s">
        <v>106</v>
      </c>
      <c r="C162" s="3369"/>
      <c r="D162" s="195"/>
      <c r="E162" s="144"/>
      <c r="F162" s="144"/>
      <c r="G162" s="144"/>
      <c r="H162" s="144"/>
      <c r="I162" s="196"/>
    </row>
    <row r="163" spans="1:9" ht="21.75" hidden="1" customHeight="1">
      <c r="D163" s="185"/>
      <c r="E163" s="133"/>
      <c r="F163" s="133"/>
      <c r="G163" s="133"/>
      <c r="H163" s="133"/>
      <c r="I163" s="186"/>
    </row>
    <row r="164" spans="1:9" s="133" customFormat="1" ht="32.25" hidden="1" customHeight="1">
      <c r="A164" s="165"/>
      <c r="B164" s="166" t="s">
        <v>126</v>
      </c>
      <c r="C164" s="167"/>
      <c r="D164" s="185"/>
      <c r="I164" s="186"/>
    </row>
    <row r="165" spans="1:9" ht="21.75" hidden="1" customHeight="1">
      <c r="A165" s="163" t="s">
        <v>7</v>
      </c>
      <c r="B165" s="151"/>
      <c r="C165" s="151"/>
      <c r="D165" s="187" t="s">
        <v>154</v>
      </c>
      <c r="E165" s="142"/>
      <c r="F165" s="142"/>
      <c r="G165" s="142"/>
      <c r="H165" s="142"/>
      <c r="I165" s="188"/>
    </row>
    <row r="166" spans="1:9" ht="21.75" hidden="1" customHeight="1">
      <c r="A166" s="164"/>
      <c r="B166" s="160"/>
      <c r="C166" s="160"/>
      <c r="D166" s="191">
        <v>0.25</v>
      </c>
      <c r="E166" s="137">
        <v>0.41666666666666669</v>
      </c>
      <c r="F166" s="137">
        <v>0.58333333333333337</v>
      </c>
      <c r="G166" s="137">
        <v>0.75</v>
      </c>
      <c r="H166" s="137">
        <v>0.91666666666666663</v>
      </c>
      <c r="I166" s="192">
        <v>8.3333333333333329E-2</v>
      </c>
    </row>
    <row r="167" spans="1:9" ht="21.75" hidden="1" customHeight="1">
      <c r="A167" s="3508">
        <v>1</v>
      </c>
      <c r="B167" s="3510" t="s">
        <v>137</v>
      </c>
      <c r="C167" s="161" t="s">
        <v>99</v>
      </c>
      <c r="D167" s="185">
        <f>'3.XT-C KH'!I6</f>
        <v>48.026000000000003</v>
      </c>
      <c r="E167" s="133">
        <f>'3.XT-C KH'!Q6</f>
        <v>50.9465</v>
      </c>
      <c r="F167" s="133">
        <f>'3.XT-C KH'!Y6</f>
        <v>51.271000000000001</v>
      </c>
      <c r="G167" s="133">
        <f>'3.XT-C KH'!I51</f>
        <v>0</v>
      </c>
      <c r="H167" s="133">
        <f>'3.XT-C KH'!Q51</f>
        <v>0</v>
      </c>
      <c r="I167" s="186">
        <f>'3.XT-C KH'!Y51</f>
        <v>0</v>
      </c>
    </row>
    <row r="168" spans="1:9" ht="21.75" hidden="1" customHeight="1">
      <c r="A168" s="3508"/>
      <c r="B168" s="3511"/>
      <c r="C168" s="162" t="s">
        <v>100</v>
      </c>
      <c r="D168" s="185">
        <f>'3.XT-C KH'!I7</f>
        <v>0</v>
      </c>
      <c r="E168" s="133">
        <f>'3.XT-C KH'!Q7</f>
        <v>0</v>
      </c>
      <c r="F168" s="133">
        <f>'3.XT-C KH'!Y7</f>
        <v>0</v>
      </c>
      <c r="G168" s="133">
        <f>'3.XT-C KH'!I52</f>
        <v>0</v>
      </c>
      <c r="H168" s="133">
        <f>'3.XT-C KH'!Q52</f>
        <v>0</v>
      </c>
      <c r="I168" s="186">
        <f>'3.XT-C KH'!Y52</f>
        <v>0</v>
      </c>
    </row>
    <row r="169" spans="1:9" ht="21.75" hidden="1" customHeight="1">
      <c r="A169" s="3509"/>
      <c r="B169" s="3512"/>
      <c r="C169" s="132" t="s">
        <v>102</v>
      </c>
      <c r="D169" s="183" t="e">
        <f>'3.XT-C KH'!#REF!</f>
        <v>#REF!</v>
      </c>
      <c r="E169" s="134" t="e">
        <f>'3.XT-C KH'!#REF!</f>
        <v>#REF!</v>
      </c>
      <c r="F169" s="134" t="e">
        <f>'3.XT-C KH'!#REF!</f>
        <v>#REF!</v>
      </c>
      <c r="G169" s="134" t="e">
        <f>'3.XT-C KH'!#REF!</f>
        <v>#REF!</v>
      </c>
      <c r="H169" s="134" t="e">
        <f>'3.XT-C KH'!#REF!</f>
        <v>#REF!</v>
      </c>
      <c r="I169" s="184" t="e">
        <f>'3.XT-C KH'!#REF!</f>
        <v>#REF!</v>
      </c>
    </row>
    <row r="170" spans="1:9" ht="21.75" hidden="1" customHeight="1">
      <c r="A170" s="3449">
        <v>2</v>
      </c>
      <c r="B170" s="3506" t="s">
        <v>138</v>
      </c>
      <c r="C170" s="130" t="s">
        <v>99</v>
      </c>
      <c r="D170" s="185">
        <f>'3.XT-C KH'!I8</f>
        <v>49.648500000000006</v>
      </c>
      <c r="E170" s="133">
        <f>'3.XT-C KH'!Q8</f>
        <v>50.297499999999999</v>
      </c>
      <c r="F170" s="133">
        <f>'3.XT-C KH'!Y8</f>
        <v>50.297499999999999</v>
      </c>
      <c r="G170" s="133">
        <f>'3.XT-C KH'!I53</f>
        <v>0</v>
      </c>
      <c r="H170" s="133">
        <f>'3.XT-C KH'!Q53</f>
        <v>0</v>
      </c>
      <c r="I170" s="186">
        <f>'3.XT-C KH'!Y53</f>
        <v>0</v>
      </c>
    </row>
    <row r="171" spans="1:9" ht="21.75" hidden="1" customHeight="1">
      <c r="A171" s="3449"/>
      <c r="B171" s="3452"/>
      <c r="C171" s="128" t="s">
        <v>100</v>
      </c>
      <c r="D171" s="185">
        <f>'3.XT-C KH'!I9</f>
        <v>0</v>
      </c>
      <c r="E171" s="133">
        <f>'3.XT-C KH'!Q9</f>
        <v>0</v>
      </c>
      <c r="F171" s="133">
        <f>'3.XT-C KH'!Y9</f>
        <v>0</v>
      </c>
      <c r="G171" s="133">
        <f>'3.XT-C KH'!I54</f>
        <v>0</v>
      </c>
      <c r="H171" s="133">
        <f>'3.XT-C KH'!Q54</f>
        <v>0</v>
      </c>
      <c r="I171" s="186">
        <f>'3.XT-C KH'!Y54</f>
        <v>0</v>
      </c>
    </row>
    <row r="172" spans="1:9" ht="21.75" hidden="1" customHeight="1">
      <c r="A172" s="3430"/>
      <c r="B172" s="3507"/>
      <c r="C172" s="128" t="s">
        <v>102</v>
      </c>
      <c r="D172" s="185" t="e">
        <f>'3.XT-C KH'!#REF!</f>
        <v>#REF!</v>
      </c>
      <c r="E172" s="133" t="e">
        <f>'3.XT-C KH'!#REF!</f>
        <v>#REF!</v>
      </c>
      <c r="F172" s="133" t="e">
        <f>'3.XT-C KH'!#REF!</f>
        <v>#REF!</v>
      </c>
      <c r="G172" s="133" t="e">
        <f>'3.XT-C KH'!#REF!</f>
        <v>#REF!</v>
      </c>
      <c r="H172" s="133" t="e">
        <f>'3.XT-C KH'!#REF!</f>
        <v>#REF!</v>
      </c>
      <c r="I172" s="186" t="e">
        <f>'3.XT-C KH'!#REF!</f>
        <v>#REF!</v>
      </c>
    </row>
    <row r="173" spans="1:9" ht="21.75" hidden="1" customHeight="1">
      <c r="A173" s="3429">
        <v>3</v>
      </c>
      <c r="B173" s="3386" t="s">
        <v>139</v>
      </c>
      <c r="C173" s="127" t="s">
        <v>99</v>
      </c>
      <c r="D173" s="185">
        <f>'3.XT-C KH'!I10</f>
        <v>61.446000000000005</v>
      </c>
      <c r="E173" s="133">
        <f>'3.XT-C KH'!Q10</f>
        <v>61.908000000000001</v>
      </c>
      <c r="F173" s="133">
        <f>'3.XT-C KH'!Y10</f>
        <v>62.370000000000005</v>
      </c>
      <c r="G173" s="133">
        <f>'3.XT-C KH'!I55</f>
        <v>0</v>
      </c>
      <c r="H173" s="133">
        <f>'3.XT-C KH'!Q55</f>
        <v>0</v>
      </c>
      <c r="I173" s="186">
        <f>'3.XT-C KH'!Y55</f>
        <v>0</v>
      </c>
    </row>
    <row r="174" spans="1:9" ht="21.75" hidden="1" customHeight="1">
      <c r="A174" s="3430"/>
      <c r="B174" s="3387"/>
      <c r="C174" s="128" t="s">
        <v>103</v>
      </c>
      <c r="D174" s="185">
        <f>'3.XT-C KH'!I11</f>
        <v>0</v>
      </c>
      <c r="E174" s="133">
        <f>'3.XT-C KH'!Q11</f>
        <v>0</v>
      </c>
      <c r="F174" s="133">
        <f>'3.XT-C KH'!Y11</f>
        <v>0</v>
      </c>
      <c r="G174" s="133">
        <f>'3.XT-C KH'!I56</f>
        <v>0</v>
      </c>
      <c r="H174" s="133">
        <f>'3.XT-C KH'!Q56</f>
        <v>0</v>
      </c>
      <c r="I174" s="186">
        <f>'3.XT-C KH'!Y56</f>
        <v>0</v>
      </c>
    </row>
    <row r="175" spans="1:9" ht="21.75" hidden="1" customHeight="1">
      <c r="A175" s="3429">
        <v>4</v>
      </c>
      <c r="B175" s="3386" t="s">
        <v>140</v>
      </c>
      <c r="C175" s="127" t="s">
        <v>99</v>
      </c>
      <c r="D175" s="185">
        <f>'3.XT-C KH'!I12</f>
        <v>59.598000000000006</v>
      </c>
      <c r="E175" s="133">
        <f>'3.XT-C KH'!Q12</f>
        <v>60.753</v>
      </c>
      <c r="F175" s="133">
        <f>'3.XT-C KH'!Y12</f>
        <v>61.215000000000003</v>
      </c>
      <c r="G175" s="133">
        <f>'3.XT-C KH'!I57</f>
        <v>0</v>
      </c>
      <c r="H175" s="133">
        <f>'3.XT-C KH'!Q57</f>
        <v>0</v>
      </c>
      <c r="I175" s="186">
        <f>'3.XT-C KH'!Y57</f>
        <v>0</v>
      </c>
    </row>
    <row r="176" spans="1:9" ht="21.75" hidden="1" customHeight="1">
      <c r="A176" s="3430"/>
      <c r="B176" s="3387"/>
      <c r="C176" s="128" t="s">
        <v>103</v>
      </c>
      <c r="D176" s="185">
        <f>'3.XT-C KH'!I13</f>
        <v>0</v>
      </c>
      <c r="E176" s="133">
        <f>'3.XT-C KH'!Q13</f>
        <v>0</v>
      </c>
      <c r="F176" s="133">
        <f>'3.XT-C KH'!Y13</f>
        <v>0</v>
      </c>
      <c r="G176" s="133">
        <f>'3.XT-C KH'!I58</f>
        <v>0</v>
      </c>
      <c r="H176" s="133">
        <f>'3.XT-C KH'!Q58</f>
        <v>0</v>
      </c>
      <c r="I176" s="186">
        <f>'3.XT-C KH'!Y58</f>
        <v>0</v>
      </c>
    </row>
    <row r="177" spans="1:9" ht="21.75" hidden="1" customHeight="1">
      <c r="A177" s="3429">
        <v>5</v>
      </c>
      <c r="B177" s="3444" t="s">
        <v>112</v>
      </c>
      <c r="C177" s="129"/>
      <c r="D177" s="185">
        <f>'3.XT-C KH'!I14</f>
        <v>142.4</v>
      </c>
      <c r="E177" s="133">
        <f>'3.XT-C KH'!Q14</f>
        <v>143.19999999999999</v>
      </c>
      <c r="F177" s="133">
        <f>'3.XT-C KH'!Y14</f>
        <v>138.80000000000001</v>
      </c>
      <c r="G177" s="133">
        <f>'3.XT-C KH'!I59</f>
        <v>0</v>
      </c>
      <c r="H177" s="133">
        <f>'3.XT-C KH'!Q59</f>
        <v>0</v>
      </c>
      <c r="I177" s="186">
        <f>'3.XT-C KH'!Y59</f>
        <v>0</v>
      </c>
    </row>
    <row r="178" spans="1:9" ht="21.75" hidden="1" customHeight="1">
      <c r="A178" s="3430"/>
      <c r="B178" s="3445"/>
      <c r="C178" s="129"/>
      <c r="D178" s="185">
        <f>'3.XT-C KH'!I15</f>
        <v>8.3849999999999998</v>
      </c>
      <c r="E178" s="133">
        <f>'3.XT-C KH'!Q15</f>
        <v>8.3849999999999998</v>
      </c>
      <c r="F178" s="133">
        <f>'3.XT-C KH'!Y15</f>
        <v>8.4500000000000011</v>
      </c>
      <c r="G178" s="133">
        <f>'3.XT-C KH'!I60</f>
        <v>0</v>
      </c>
      <c r="H178" s="133">
        <f>'3.XT-C KH'!Q60</f>
        <v>0</v>
      </c>
      <c r="I178" s="186">
        <f>'3.XT-C KH'!Y60</f>
        <v>0</v>
      </c>
    </row>
    <row r="179" spans="1:9" ht="21.75" hidden="1" customHeight="1">
      <c r="A179" s="3429">
        <v>6</v>
      </c>
      <c r="B179" s="3435" t="s">
        <v>37</v>
      </c>
      <c r="C179" s="3436"/>
      <c r="D179" s="185">
        <f>'3.XT-C KH'!I16</f>
        <v>6.7287950000000007</v>
      </c>
      <c r="E179" s="133">
        <f>'3.XT-C KH'!Q16</f>
        <v>6.6864250000000007</v>
      </c>
      <c r="F179" s="133">
        <f>'3.XT-C KH'!Y16</f>
        <v>6.6228700000000007</v>
      </c>
      <c r="G179" s="133">
        <f>'3.XT-C KH'!I61</f>
        <v>-1.0461</v>
      </c>
      <c r="H179" s="133">
        <f>'3.XT-C KH'!Q61</f>
        <v>-1.0461</v>
      </c>
      <c r="I179" s="186">
        <f>'3.XT-C KH'!Y61</f>
        <v>-1.0461</v>
      </c>
    </row>
    <row r="180" spans="1:9" ht="21.75" hidden="1" customHeight="1">
      <c r="A180" s="3430"/>
      <c r="B180" s="3437"/>
      <c r="C180" s="3438"/>
      <c r="D180" s="185">
        <f>'3.XT-C KH'!I17</f>
        <v>2.11</v>
      </c>
      <c r="E180" s="133">
        <f>'3.XT-C KH'!Q17</f>
        <v>2.1</v>
      </c>
      <c r="F180" s="133">
        <f>'3.XT-C KH'!Y17</f>
        <v>2.14</v>
      </c>
      <c r="G180" s="133">
        <f>'3.XT-C KH'!I62</f>
        <v>0</v>
      </c>
      <c r="H180" s="133">
        <f>'3.XT-C KH'!Q62</f>
        <v>0</v>
      </c>
      <c r="I180" s="186">
        <f>'3.XT-C KH'!Y62</f>
        <v>0</v>
      </c>
    </row>
    <row r="181" spans="1:9" ht="21.75" hidden="1" customHeight="1">
      <c r="A181" s="2662"/>
      <c r="B181" s="2663"/>
      <c r="C181" s="2664">
        <v>12</v>
      </c>
      <c r="D181" s="185">
        <f>'3.XT-C KH'!I18</f>
        <v>0.44500000000000001</v>
      </c>
      <c r="E181" s="133">
        <f>'3.XT-C KH'!Q18</f>
        <v>0.45624999999999999</v>
      </c>
      <c r="F181" s="133">
        <f>'3.XT-C KH'!Y18</f>
        <v>0.49274999999999997</v>
      </c>
      <c r="G181" s="133">
        <f>'3.XT-C KH'!I63</f>
        <v>0</v>
      </c>
      <c r="H181" s="133">
        <f>'3.XT-C KH'!Q63</f>
        <v>0</v>
      </c>
      <c r="I181" s="186">
        <f>'3.XT-C KH'!Y63</f>
        <v>0</v>
      </c>
    </row>
    <row r="182" spans="1:9" ht="21.75" hidden="1" customHeight="1">
      <c r="A182" s="131">
        <v>7</v>
      </c>
      <c r="B182" s="3239">
        <v>13</v>
      </c>
      <c r="C182" s="3240"/>
      <c r="D182" s="185">
        <f>'3.XT-C KH'!I19</f>
        <v>0.156</v>
      </c>
      <c r="E182" s="133">
        <f>'3.XT-C KH'!Q19</f>
        <v>0.152</v>
      </c>
      <c r="F182" s="133">
        <f>'3.XT-C KH'!Y19</f>
        <v>0.14599999999999999</v>
      </c>
      <c r="G182" s="133">
        <f>'3.XT-C KH'!I64</f>
        <v>0</v>
      </c>
      <c r="H182" s="133">
        <f>'3.XT-C KH'!Q64</f>
        <v>0</v>
      </c>
      <c r="I182" s="186">
        <f>'3.XT-C KH'!Y64</f>
        <v>0</v>
      </c>
    </row>
    <row r="183" spans="1:9" ht="21.75" hidden="1" customHeight="1">
      <c r="A183" s="2667"/>
      <c r="B183" s="2665"/>
      <c r="C183" s="2666">
        <v>14</v>
      </c>
      <c r="D183" s="185">
        <f>'3.XT-C KH'!I20</f>
        <v>0.44712499999999994</v>
      </c>
      <c r="E183" s="133">
        <f>'3.XT-C KH'!Q20</f>
        <v>0.46993750000000001</v>
      </c>
      <c r="F183" s="133">
        <f>'3.XT-C KH'!Y20</f>
        <v>0.48362500000000003</v>
      </c>
      <c r="G183" s="133">
        <f>'3.XT-C KH'!I65</f>
        <v>0</v>
      </c>
      <c r="H183" s="133">
        <f>'3.XT-C KH'!Q65</f>
        <v>0</v>
      </c>
      <c r="I183" s="186">
        <f>'3.XT-C KH'!Y65</f>
        <v>0</v>
      </c>
    </row>
    <row r="184" spans="1:9" ht="21.75" hidden="1" customHeight="1">
      <c r="A184" s="131">
        <v>8</v>
      </c>
      <c r="B184" s="3239" t="s">
        <v>36</v>
      </c>
      <c r="C184" s="3240"/>
      <c r="D184" s="185">
        <f>'3.XT-C KH'!I21</f>
        <v>0.45168749999999996</v>
      </c>
      <c r="E184" s="133">
        <f>'3.XT-C KH'!Q21</f>
        <v>0.45624999999999999</v>
      </c>
      <c r="F184" s="133">
        <f>'3.XT-C KH'!Y21</f>
        <v>0.45624999999999999</v>
      </c>
      <c r="G184" s="133">
        <f>'3.XT-C KH'!I66</f>
        <v>0</v>
      </c>
      <c r="H184" s="133">
        <f>'3.XT-C KH'!Q66</f>
        <v>0</v>
      </c>
      <c r="I184" s="186">
        <f>'3.XT-C KH'!Y66</f>
        <v>0</v>
      </c>
    </row>
    <row r="185" spans="1:9" ht="21.75" hidden="1" customHeight="1">
      <c r="A185" s="131">
        <v>10</v>
      </c>
      <c r="B185" s="3264" t="s">
        <v>111</v>
      </c>
      <c r="C185" s="3265" t="s">
        <v>111</v>
      </c>
      <c r="D185" s="185">
        <f>'3.XT-C KH'!I22</f>
        <v>7.4340000000000005E-3</v>
      </c>
      <c r="E185" s="133">
        <f>'3.XT-C KH'!Q22</f>
        <v>7.0559999999999998E-3</v>
      </c>
      <c r="F185" s="133">
        <f>'3.XT-C KH'!Y22</f>
        <v>7.3080000000000003E-3</v>
      </c>
      <c r="G185" s="133">
        <f>'3.XT-C KH'!I67</f>
        <v>0</v>
      </c>
      <c r="H185" s="133">
        <f>'3.XT-C KH'!Q67</f>
        <v>0</v>
      </c>
      <c r="I185" s="186">
        <f>'3.XT-C KH'!Y67</f>
        <v>0</v>
      </c>
    </row>
    <row r="186" spans="1:9" ht="21.75" hidden="1" customHeight="1">
      <c r="A186" s="146"/>
      <c r="B186" s="147" t="s">
        <v>108</v>
      </c>
      <c r="C186" s="154"/>
      <c r="D186" s="187" t="s">
        <v>156</v>
      </c>
      <c r="E186" s="142"/>
      <c r="F186" s="142"/>
      <c r="G186" s="142"/>
      <c r="H186" s="142"/>
      <c r="I186" s="188"/>
    </row>
    <row r="187" spans="1:9" ht="21.75" hidden="1" customHeight="1">
      <c r="A187" s="148" t="s">
        <v>7</v>
      </c>
      <c r="B187" s="149" t="s">
        <v>60</v>
      </c>
      <c r="C187" s="150"/>
      <c r="D187" s="189">
        <v>0.25</v>
      </c>
      <c r="E187" s="145">
        <v>0.41666666666666669</v>
      </c>
      <c r="F187" s="145">
        <v>0.58333333333333337</v>
      </c>
      <c r="G187" s="145">
        <v>0.75</v>
      </c>
      <c r="H187" s="145">
        <v>0.91666666666666663</v>
      </c>
      <c r="I187" s="190">
        <v>8.3333333333333329E-2</v>
      </c>
    </row>
    <row r="188" spans="1:9" ht="21.75" hidden="1" customHeight="1">
      <c r="A188" s="131">
        <v>1</v>
      </c>
      <c r="B188" s="3417" t="s">
        <v>34</v>
      </c>
      <c r="C188" s="3418"/>
      <c r="D188" s="185">
        <f>'3.XT-C KH'!I29</f>
        <v>58</v>
      </c>
      <c r="E188" s="133">
        <f>'3.XT-C KH'!Q29</f>
        <v>58</v>
      </c>
      <c r="F188" s="133">
        <f>'3.XT-C KH'!Y29</f>
        <v>58</v>
      </c>
      <c r="G188" s="133">
        <f>'3.XT-C KH'!I74</f>
        <v>0</v>
      </c>
      <c r="H188" s="133">
        <f>'3.XT-C KH'!Q74</f>
        <v>0</v>
      </c>
      <c r="I188" s="186">
        <f>'3.XT-C KH'!Y74</f>
        <v>0</v>
      </c>
    </row>
    <row r="189" spans="1:9" ht="21.75" hidden="1" customHeight="1">
      <c r="A189" s="131">
        <v>2</v>
      </c>
      <c r="B189" s="3417" t="s">
        <v>35</v>
      </c>
      <c r="C189" s="3418"/>
      <c r="D189" s="185">
        <f>'3.XT-C KH'!I30</f>
        <v>58</v>
      </c>
      <c r="E189" s="133">
        <f>'3.XT-C KH'!Q30</f>
        <v>58</v>
      </c>
      <c r="F189" s="133">
        <f>'3.XT-C KH'!Y30</f>
        <v>59</v>
      </c>
      <c r="G189" s="133">
        <f>'3.XT-C KH'!I75</f>
        <v>0</v>
      </c>
      <c r="H189" s="133">
        <f>'3.XT-C KH'!Q75</f>
        <v>0</v>
      </c>
      <c r="I189" s="186">
        <f>'3.XT-C KH'!Y75</f>
        <v>0</v>
      </c>
    </row>
    <row r="190" spans="1:9" ht="21.75" hidden="1" customHeight="1">
      <c r="A190" s="131">
        <v>3</v>
      </c>
      <c r="B190" s="3417" t="s">
        <v>27</v>
      </c>
      <c r="C190" s="3418"/>
      <c r="D190" s="185">
        <f>'3.XT-C KH'!I31</f>
        <v>59</v>
      </c>
      <c r="E190" s="133">
        <f>'3.XT-C KH'!Q31</f>
        <v>58</v>
      </c>
      <c r="F190" s="133">
        <f>'3.XT-C KH'!Y31</f>
        <v>59</v>
      </c>
      <c r="G190" s="133">
        <f>'3.XT-C KH'!I76</f>
        <v>0</v>
      </c>
      <c r="H190" s="133">
        <f>'3.XT-C KH'!Q76</f>
        <v>0</v>
      </c>
      <c r="I190" s="186">
        <f>'3.XT-C KH'!Y76</f>
        <v>0</v>
      </c>
    </row>
    <row r="191" spans="1:9" ht="21.75" hidden="1" customHeight="1">
      <c r="A191" s="131">
        <v>4</v>
      </c>
      <c r="B191" s="3417" t="s">
        <v>28</v>
      </c>
      <c r="C191" s="3418"/>
      <c r="D191" s="185">
        <f>'3.XT-C KH'!I32</f>
        <v>59</v>
      </c>
      <c r="E191" s="133">
        <f>'3.XT-C KH'!Q32</f>
        <v>59</v>
      </c>
      <c r="F191" s="133">
        <f>'3.XT-C KH'!Y32</f>
        <v>58</v>
      </c>
      <c r="G191" s="133">
        <f>'3.XT-C KH'!I77</f>
        <v>0</v>
      </c>
      <c r="H191" s="133">
        <f>'3.XT-C KH'!Q77</f>
        <v>0</v>
      </c>
      <c r="I191" s="186">
        <f>'3.XT-C KH'!Y77</f>
        <v>0</v>
      </c>
    </row>
    <row r="192" spans="1:9" ht="21.75" hidden="1" customHeight="1">
      <c r="A192" s="131">
        <v>5</v>
      </c>
      <c r="B192" s="3417" t="s">
        <v>29</v>
      </c>
      <c r="C192" s="3418"/>
      <c r="D192" s="185">
        <f>'3.XT-C KH'!I33</f>
        <v>25</v>
      </c>
      <c r="E192" s="133">
        <f>'3.XT-C KH'!Q33</f>
        <v>26</v>
      </c>
      <c r="F192" s="133">
        <f>'3.XT-C KH'!Y33</f>
        <v>25</v>
      </c>
      <c r="G192" s="133">
        <f>'3.XT-C KH'!I78</f>
        <v>0</v>
      </c>
      <c r="H192" s="133">
        <f>'3.XT-C KH'!Q78</f>
        <v>0</v>
      </c>
      <c r="I192" s="186">
        <f>'3.XT-C KH'!Y78</f>
        <v>0</v>
      </c>
    </row>
    <row r="193" spans="1:9" ht="21.75" hidden="1" customHeight="1">
      <c r="A193" s="131">
        <v>6</v>
      </c>
      <c r="B193" s="3417" t="s">
        <v>30</v>
      </c>
      <c r="C193" s="3418"/>
      <c r="D193" s="185">
        <f>'3.XT-C KH'!I34</f>
        <v>34</v>
      </c>
      <c r="E193" s="133">
        <f>'3.XT-C KH'!Q34</f>
        <v>35</v>
      </c>
      <c r="F193" s="133">
        <f>'3.XT-C KH'!Y34</f>
        <v>37</v>
      </c>
      <c r="G193" s="133">
        <f>'3.XT-C KH'!I79</f>
        <v>0</v>
      </c>
      <c r="H193" s="133">
        <f>'3.XT-C KH'!Q79</f>
        <v>0</v>
      </c>
      <c r="I193" s="186">
        <f>'3.XT-C KH'!Y79</f>
        <v>0</v>
      </c>
    </row>
    <row r="194" spans="1:9" ht="21.75" hidden="1" customHeight="1">
      <c r="A194" s="131">
        <v>7</v>
      </c>
      <c r="B194" s="3417" t="s">
        <v>31</v>
      </c>
      <c r="C194" s="3418"/>
      <c r="D194" s="185">
        <f>'3.XT-C KH'!I35</f>
        <v>62</v>
      </c>
      <c r="E194" s="133">
        <f>'3.XT-C KH'!Q35</f>
        <v>61</v>
      </c>
      <c r="F194" s="133">
        <f>'3.XT-C KH'!Y35</f>
        <v>58</v>
      </c>
      <c r="G194" s="133">
        <f>'3.XT-C KH'!I80</f>
        <v>0</v>
      </c>
      <c r="H194" s="133">
        <f>'3.XT-C KH'!Q80</f>
        <v>0</v>
      </c>
      <c r="I194" s="186">
        <f>'3.XT-C KH'!Y80</f>
        <v>0</v>
      </c>
    </row>
    <row r="195" spans="1:9" ht="21.75" hidden="1" customHeight="1">
      <c r="A195" s="131">
        <v>8</v>
      </c>
      <c r="B195" s="3417" t="s">
        <v>32</v>
      </c>
      <c r="C195" s="3418"/>
      <c r="D195" s="185">
        <f>'3.XT-C KH'!K36</f>
        <v>93</v>
      </c>
      <c r="E195" s="133">
        <f>'3.XT-C KH'!S36</f>
        <v>92</v>
      </c>
      <c r="F195" s="133">
        <f>'3.XT-C KH'!AA36</f>
        <v>92</v>
      </c>
      <c r="G195" s="133">
        <f>'3.XT-C KH'!K81</f>
        <v>0</v>
      </c>
      <c r="H195" s="133">
        <f>'3.XT-C KH'!S81</f>
        <v>0</v>
      </c>
      <c r="I195" s="186">
        <f>'3.XT-C KH'!AA81</f>
        <v>0</v>
      </c>
    </row>
    <row r="196" spans="1:9" ht="21.75" hidden="1" customHeight="1">
      <c r="A196" s="146"/>
      <c r="B196" s="147" t="s">
        <v>109</v>
      </c>
      <c r="C196" s="154"/>
      <c r="D196" s="187" t="s">
        <v>157</v>
      </c>
      <c r="E196" s="142"/>
      <c r="F196" s="142"/>
      <c r="G196" s="142"/>
      <c r="H196" s="142"/>
      <c r="I196" s="188"/>
    </row>
    <row r="197" spans="1:9" ht="21.75" hidden="1" customHeight="1">
      <c r="A197" s="148" t="s">
        <v>7</v>
      </c>
      <c r="B197" s="149" t="s">
        <v>91</v>
      </c>
      <c r="C197" s="150"/>
      <c r="D197" s="189">
        <v>0.25</v>
      </c>
      <c r="E197" s="145">
        <v>0.41666666666666669</v>
      </c>
      <c r="F197" s="145">
        <v>0.58333333333333337</v>
      </c>
      <c r="G197" s="145">
        <v>0.75</v>
      </c>
      <c r="H197" s="145">
        <v>0.91666666666666663</v>
      </c>
      <c r="I197" s="190">
        <v>8.3333333333333329E-2</v>
      </c>
    </row>
    <row r="198" spans="1:9" ht="21.75" hidden="1" customHeight="1">
      <c r="A198" s="131">
        <v>1</v>
      </c>
      <c r="B198" s="3513" t="s">
        <v>114</v>
      </c>
      <c r="C198" s="3514"/>
      <c r="D198" s="185">
        <f>'3.XT-C KH'!I43</f>
        <v>42</v>
      </c>
      <c r="E198" s="133">
        <f>'3.XT-C KH'!Q43</f>
        <v>40</v>
      </c>
      <c r="F198" s="133">
        <f>'3.XT-C KH'!Y43</f>
        <v>42</v>
      </c>
      <c r="G198" s="133">
        <f>'3.XT-C KH'!I88</f>
        <v>0</v>
      </c>
      <c r="H198" s="133">
        <f>'3.XT-C KH'!Q88</f>
        <v>0</v>
      </c>
      <c r="I198" s="186">
        <f>'3.XT-C KH'!Y88</f>
        <v>0</v>
      </c>
    </row>
    <row r="199" spans="1:9" ht="21.75" hidden="1" customHeight="1">
      <c r="A199" s="131">
        <v>2</v>
      </c>
      <c r="B199" s="3513" t="s">
        <v>113</v>
      </c>
      <c r="C199" s="3514"/>
      <c r="D199" s="185">
        <f>'3.XT-C KH'!I44</f>
        <v>195</v>
      </c>
      <c r="E199" s="133">
        <f>'3.XT-C KH'!Q44</f>
        <v>197</v>
      </c>
      <c r="F199" s="133">
        <f>'3.XT-C KH'!Y44</f>
        <v>200</v>
      </c>
      <c r="G199" s="133">
        <f>'3.XT-C KH'!I89</f>
        <v>0</v>
      </c>
      <c r="H199" s="133">
        <f>'3.XT-C KH'!Q89</f>
        <v>0</v>
      </c>
      <c r="I199" s="186">
        <f>'3.XT-C KH'!Y89</f>
        <v>0</v>
      </c>
    </row>
    <row r="200" spans="1:9" ht="21.75" hidden="1" customHeight="1">
      <c r="A200" s="139"/>
      <c r="B200" s="139"/>
      <c r="C200" s="139"/>
      <c r="D200" s="187" t="s">
        <v>155</v>
      </c>
      <c r="E200" s="142"/>
      <c r="F200" s="142"/>
      <c r="G200" s="142"/>
      <c r="H200" s="142"/>
      <c r="I200" s="188"/>
    </row>
    <row r="201" spans="1:9" ht="21.75" hidden="1" customHeight="1">
      <c r="A201" s="139"/>
      <c r="B201" s="139"/>
      <c r="C201" s="139"/>
      <c r="D201" s="191">
        <v>0.25</v>
      </c>
      <c r="E201" s="137">
        <v>0.41666666666666669</v>
      </c>
      <c r="F201" s="137">
        <v>0.58333333333333337</v>
      </c>
      <c r="G201" s="137">
        <v>0.75</v>
      </c>
      <c r="H201" s="137">
        <v>0.91666666666666663</v>
      </c>
      <c r="I201" s="192">
        <v>8.3333333333333329E-2</v>
      </c>
    </row>
    <row r="202" spans="1:9" ht="21.75" hidden="1" customHeight="1">
      <c r="A202" s="3429">
        <v>1</v>
      </c>
      <c r="B202" s="3450" t="s">
        <v>137</v>
      </c>
      <c r="C202" s="127" t="s">
        <v>99</v>
      </c>
      <c r="D202" s="198">
        <f>'3.XT-C KH'!K6</f>
        <v>30.630557999999947</v>
      </c>
      <c r="E202" s="155">
        <f>'3.XT-C KH'!S6</f>
        <v>0</v>
      </c>
      <c r="F202" s="155">
        <f>'3.XT-C KH'!AA6</f>
        <v>0</v>
      </c>
      <c r="G202" s="155">
        <f>'3.XT-C KH'!K51</f>
        <v>775.85</v>
      </c>
      <c r="H202" s="155">
        <f>'3.XT-C KH'!S51</f>
        <v>775.85</v>
      </c>
      <c r="I202" s="199">
        <f>'3.XT-C KH'!AA51</f>
        <v>775.85</v>
      </c>
    </row>
    <row r="203" spans="1:9" ht="21.75" hidden="1" customHeight="1">
      <c r="A203" s="3449"/>
      <c r="B203" s="3452"/>
      <c r="C203" s="128" t="s">
        <v>100</v>
      </c>
      <c r="D203" s="193">
        <f>'3.XT-C KH'!K7</f>
        <v>10.414389719999981</v>
      </c>
      <c r="E203" s="140">
        <f>'3.XT-C KH'!S7</f>
        <v>0</v>
      </c>
      <c r="F203" s="140">
        <f>'3.XT-C KH'!AA7</f>
        <v>0</v>
      </c>
      <c r="G203" s="140">
        <f>'3.XT-C KH'!K52</f>
        <v>263.78900000000004</v>
      </c>
      <c r="H203" s="140">
        <f>'3.XT-C KH'!S52</f>
        <v>263.78900000000004</v>
      </c>
      <c r="I203" s="194">
        <f>'3.XT-C KH'!AA52</f>
        <v>263.78900000000004</v>
      </c>
    </row>
    <row r="204" spans="1:9" ht="21.75" hidden="1" customHeight="1">
      <c r="A204" s="3430"/>
      <c r="B204" s="3507"/>
      <c r="C204" s="128" t="s">
        <v>102</v>
      </c>
      <c r="D204" s="193" t="e">
        <f>'3.XT-C KH'!#REF!</f>
        <v>#REF!</v>
      </c>
      <c r="E204" s="140" t="e">
        <f>'3.XT-C KH'!#REF!</f>
        <v>#REF!</v>
      </c>
      <c r="F204" s="140" t="e">
        <f>'3.XT-C KH'!#REF!</f>
        <v>#REF!</v>
      </c>
      <c r="G204" s="140" t="e">
        <f>'3.XT-C KH'!#REF!</f>
        <v>#REF!</v>
      </c>
      <c r="H204" s="140" t="e">
        <f>'3.XT-C KH'!#REF!</f>
        <v>#REF!</v>
      </c>
      <c r="I204" s="194" t="e">
        <f>'3.XT-C KH'!#REF!</f>
        <v>#REF!</v>
      </c>
    </row>
    <row r="205" spans="1:9" ht="21.75" hidden="1" customHeight="1">
      <c r="A205" s="3429">
        <v>2</v>
      </c>
      <c r="B205" s="3450" t="s">
        <v>138</v>
      </c>
      <c r="C205" s="127" t="s">
        <v>99</v>
      </c>
      <c r="D205" s="193">
        <f>'3.XT-C KH'!K8</f>
        <v>4.0334624999999358</v>
      </c>
      <c r="E205" s="140">
        <f>'3.XT-C KH'!S8</f>
        <v>0</v>
      </c>
      <c r="F205" s="140">
        <f>'3.XT-C KH'!AA8</f>
        <v>0</v>
      </c>
      <c r="G205" s="140">
        <f>'3.XT-C KH'!K53</f>
        <v>573.75</v>
      </c>
      <c r="H205" s="140">
        <f>'3.XT-C KH'!S53</f>
        <v>573.75</v>
      </c>
      <c r="I205" s="194">
        <f>'3.XT-C KH'!AA53</f>
        <v>573.75</v>
      </c>
    </row>
    <row r="206" spans="1:9" ht="21.75" hidden="1" customHeight="1">
      <c r="A206" s="3449"/>
      <c r="B206" s="3452"/>
      <c r="C206" s="128" t="s">
        <v>100</v>
      </c>
      <c r="D206" s="193">
        <f>'3.XT-C KH'!K9</f>
        <v>1.3713772499999783</v>
      </c>
      <c r="E206" s="140">
        <f>'3.XT-C KH'!S9</f>
        <v>0</v>
      </c>
      <c r="F206" s="140">
        <f>'3.XT-C KH'!AA9</f>
        <v>0</v>
      </c>
      <c r="G206" s="140">
        <f>'3.XT-C KH'!K54</f>
        <v>195.07499999999999</v>
      </c>
      <c r="H206" s="140">
        <f>'3.XT-C KH'!S54</f>
        <v>195.07499999999999</v>
      </c>
      <c r="I206" s="194">
        <f>'3.XT-C KH'!AA54</f>
        <v>195.07499999999999</v>
      </c>
    </row>
    <row r="207" spans="1:9" ht="21.75" hidden="1" customHeight="1">
      <c r="A207" s="3430"/>
      <c r="B207" s="3507"/>
      <c r="C207" s="128" t="s">
        <v>102</v>
      </c>
      <c r="D207" s="193" t="e">
        <f>'3.XT-C KH'!#REF!</f>
        <v>#REF!</v>
      </c>
      <c r="E207" s="140" t="e">
        <f>'3.XT-C KH'!#REF!</f>
        <v>#REF!</v>
      </c>
      <c r="F207" s="140" t="e">
        <f>'3.XT-C KH'!#REF!</f>
        <v>#REF!</v>
      </c>
      <c r="G207" s="140" t="e">
        <f>'3.XT-C KH'!#REF!</f>
        <v>#REF!</v>
      </c>
      <c r="H207" s="140" t="e">
        <f>'3.XT-C KH'!#REF!</f>
        <v>#REF!</v>
      </c>
      <c r="I207" s="194" t="e">
        <f>'3.XT-C KH'!#REF!</f>
        <v>#REF!</v>
      </c>
    </row>
    <row r="208" spans="1:9" ht="21.75" hidden="1" customHeight="1">
      <c r="A208" s="3429">
        <v>3</v>
      </c>
      <c r="B208" s="3386" t="s">
        <v>139</v>
      </c>
      <c r="C208" s="127" t="s">
        <v>99</v>
      </c>
      <c r="D208" s="193">
        <f>'3.XT-C KH'!K10</f>
        <v>0</v>
      </c>
      <c r="E208" s="140">
        <f>'3.XT-C KH'!S10</f>
        <v>0</v>
      </c>
      <c r="F208" s="140">
        <f>'3.XT-C KH'!AA10</f>
        <v>0</v>
      </c>
      <c r="G208" s="140">
        <f>'3.XT-C KH'!K55</f>
        <v>492</v>
      </c>
      <c r="H208" s="140">
        <f>'3.XT-C KH'!S55</f>
        <v>492</v>
      </c>
      <c r="I208" s="194">
        <f>'3.XT-C KH'!AA55</f>
        <v>492</v>
      </c>
    </row>
    <row r="209" spans="1:11" ht="21.75" hidden="1" customHeight="1">
      <c r="A209" s="3430"/>
      <c r="B209" s="3387"/>
      <c r="C209" s="128" t="s">
        <v>103</v>
      </c>
      <c r="D209" s="193">
        <f>'3.XT-C KH'!K11</f>
        <v>0</v>
      </c>
      <c r="E209" s="140">
        <f>'3.XT-C KH'!S11</f>
        <v>0</v>
      </c>
      <c r="F209" s="140">
        <f>'3.XT-C KH'!AA11</f>
        <v>0</v>
      </c>
      <c r="G209" s="140">
        <f>'3.XT-C KH'!K56</f>
        <v>157.44</v>
      </c>
      <c r="H209" s="140">
        <f>'3.XT-C KH'!S56</f>
        <v>157.44</v>
      </c>
      <c r="I209" s="194">
        <f>'3.XT-C KH'!AA56</f>
        <v>157.44</v>
      </c>
    </row>
    <row r="210" spans="1:11" ht="21.75" hidden="1" customHeight="1">
      <c r="A210" s="3429">
        <v>4</v>
      </c>
      <c r="B210" s="3386" t="s">
        <v>140</v>
      </c>
      <c r="C210" s="127" t="s">
        <v>99</v>
      </c>
      <c r="D210" s="193">
        <f>'3.XT-C KH'!K12</f>
        <v>3.4845359999999475</v>
      </c>
      <c r="E210" s="140">
        <f>'3.XT-C KH'!S12</f>
        <v>0</v>
      </c>
      <c r="F210" s="140">
        <f>'3.XT-C KH'!AA12</f>
        <v>0</v>
      </c>
      <c r="G210" s="140">
        <f>'3.XT-C KH'!K57</f>
        <v>520.08000000000004</v>
      </c>
      <c r="H210" s="140">
        <f>'3.XT-C KH'!S57</f>
        <v>520.08000000000004</v>
      </c>
      <c r="I210" s="194">
        <f>'3.XT-C KH'!AA57</f>
        <v>520.08000000000004</v>
      </c>
    </row>
    <row r="211" spans="1:11" ht="21.75" hidden="1" customHeight="1">
      <c r="A211" s="3430"/>
      <c r="B211" s="3387"/>
      <c r="C211" s="128" t="s">
        <v>103</v>
      </c>
      <c r="D211" s="193">
        <f>'3.XT-C KH'!K13</f>
        <v>1.1150515199999831</v>
      </c>
      <c r="E211" s="140">
        <f>'3.XT-C KH'!S13</f>
        <v>0</v>
      </c>
      <c r="F211" s="140">
        <f>'3.XT-C KH'!AA13</f>
        <v>0</v>
      </c>
      <c r="G211" s="140">
        <f>'3.XT-C KH'!K58</f>
        <v>166.4256</v>
      </c>
      <c r="H211" s="140">
        <f>'3.XT-C KH'!S58</f>
        <v>166.4256</v>
      </c>
      <c r="I211" s="194">
        <f>'3.XT-C KH'!AA58</f>
        <v>166.4256</v>
      </c>
    </row>
    <row r="212" spans="1:11" ht="21.75" hidden="1" customHeight="1">
      <c r="A212" s="3429">
        <v>5</v>
      </c>
      <c r="B212" s="3444" t="s">
        <v>112</v>
      </c>
      <c r="C212" s="129"/>
      <c r="D212" s="193">
        <f>'3.XT-C KH'!K14</f>
        <v>0</v>
      </c>
      <c r="E212" s="140">
        <f>'3.XT-C KH'!S14</f>
        <v>0</v>
      </c>
      <c r="F212" s="140">
        <f>'3.XT-C KH'!AA14</f>
        <v>63.679199999999391</v>
      </c>
      <c r="G212" s="140">
        <f>'3.XT-C KH'!K59</f>
        <v>7429.24</v>
      </c>
      <c r="H212" s="140">
        <f>'3.XT-C KH'!S59</f>
        <v>7429.24</v>
      </c>
      <c r="I212" s="194">
        <f>'3.XT-C KH'!AA59</f>
        <v>7429.24</v>
      </c>
    </row>
    <row r="213" spans="1:11" ht="21.75" hidden="1" customHeight="1">
      <c r="A213" s="3430"/>
      <c r="B213" s="3445"/>
      <c r="C213" s="129"/>
      <c r="D213" s="193">
        <f>'3.XT-C KH'!K15</f>
        <v>6.1025900000000108</v>
      </c>
      <c r="E213" s="140">
        <f>'3.XT-C KH'!S15</f>
        <v>6.1025900000000108</v>
      </c>
      <c r="F213" s="140">
        <f>'3.XT-C KH'!AA15</f>
        <v>2.6532999999999434</v>
      </c>
      <c r="G213" s="140">
        <f>'3.XT-C KH'!K60</f>
        <v>451.06099999999998</v>
      </c>
      <c r="H213" s="140">
        <f>'3.XT-C KH'!S60</f>
        <v>451.06099999999998</v>
      </c>
      <c r="I213" s="194">
        <f>'3.XT-C KH'!AA60</f>
        <v>451.06099999999998</v>
      </c>
    </row>
    <row r="214" spans="1:11" ht="21.75" hidden="1" customHeight="1">
      <c r="A214" s="3429">
        <v>6</v>
      </c>
      <c r="B214" s="3435" t="s">
        <v>37</v>
      </c>
      <c r="C214" s="3436"/>
      <c r="D214" s="193">
        <f>'3.XT-C KH'!K16</f>
        <v>0</v>
      </c>
      <c r="E214" s="140">
        <f>'3.XT-C KH'!S16</f>
        <v>0</v>
      </c>
      <c r="F214" s="140">
        <f>'3.XT-C KH'!AA16</f>
        <v>0</v>
      </c>
      <c r="G214" s="140">
        <f>'3.XT-C KH'!K61</f>
        <v>236.74896000000001</v>
      </c>
      <c r="H214" s="140">
        <f>'3.XT-C KH'!S61</f>
        <v>236.74896000000001</v>
      </c>
      <c r="I214" s="194">
        <f>'3.XT-C KH'!AA61</f>
        <v>236.74896000000001</v>
      </c>
    </row>
    <row r="215" spans="1:11" ht="21.75" hidden="1" customHeight="1">
      <c r="A215" s="3430"/>
      <c r="B215" s="3437"/>
      <c r="C215" s="3438"/>
      <c r="D215" s="193">
        <f>'3.XT-C KH'!K17</f>
        <v>0</v>
      </c>
      <c r="E215" s="140">
        <f>'3.XT-C KH'!S17</f>
        <v>0</v>
      </c>
      <c r="F215" s="140">
        <f>'3.XT-C KH'!AA17</f>
        <v>0</v>
      </c>
      <c r="G215" s="140">
        <f>'3.XT-C KH'!K62</f>
        <v>0</v>
      </c>
      <c r="H215" s="140">
        <f>'3.XT-C KH'!S62</f>
        <v>0</v>
      </c>
      <c r="I215" s="194">
        <f>'3.XT-C KH'!AA62</f>
        <v>0</v>
      </c>
    </row>
    <row r="216" spans="1:11" ht="21.75" hidden="1" customHeight="1">
      <c r="A216" s="2662"/>
      <c r="B216" s="2663"/>
      <c r="C216" s="2664" t="s">
        <v>1588</v>
      </c>
      <c r="D216" s="193">
        <f>'3.XT-C KH'!K18</f>
        <v>16.170000000000016</v>
      </c>
      <c r="E216" s="140">
        <f>'3.XT-C KH'!S18</f>
        <v>0</v>
      </c>
      <c r="F216" s="140">
        <f>'3.XT-C KH'!AA18</f>
        <v>0</v>
      </c>
      <c r="G216" s="140">
        <f>'3.XT-C KH'!K63</f>
        <v>1455.3</v>
      </c>
      <c r="H216" s="140">
        <f>'3.XT-C KH'!S63</f>
        <v>1455.3</v>
      </c>
      <c r="I216" s="194">
        <f>'3.XT-C KH'!AA63</f>
        <v>1455.3</v>
      </c>
    </row>
    <row r="217" spans="1:11" ht="21.75" hidden="1" customHeight="1">
      <c r="A217" s="131">
        <v>7</v>
      </c>
      <c r="B217" s="3239" t="s">
        <v>1589</v>
      </c>
      <c r="C217" s="3240"/>
      <c r="D217" s="193">
        <f>'3.XT-C KH'!K19</f>
        <v>0</v>
      </c>
      <c r="E217" s="140">
        <f>'3.XT-C KH'!S19</f>
        <v>0</v>
      </c>
      <c r="F217" s="140">
        <f>'3.XT-C KH'!AA19</f>
        <v>13.444000000000011</v>
      </c>
      <c r="G217" s="140">
        <f>'3.XT-C KH'!K64</f>
        <v>504.15</v>
      </c>
      <c r="H217" s="140">
        <f>'3.XT-C KH'!S64</f>
        <v>504.15</v>
      </c>
      <c r="I217" s="194">
        <f>'3.XT-C KH'!AA64</f>
        <v>504.15</v>
      </c>
    </row>
    <row r="218" spans="1:11" ht="21.75" hidden="1" customHeight="1">
      <c r="A218" s="2660"/>
      <c r="B218" s="3239" t="s">
        <v>1590</v>
      </c>
      <c r="C218" s="3240"/>
      <c r="D218" s="193">
        <f>'3.XT-C KH'!K20</f>
        <v>9.6628750000002412</v>
      </c>
      <c r="E218" s="140">
        <f>'3.XT-C KH'!S20</f>
        <v>0</v>
      </c>
      <c r="F218" s="140">
        <f>'3.XT-C KH'!AA20</f>
        <v>0</v>
      </c>
      <c r="G218" s="140">
        <f>'3.XT-C KH'!K65</f>
        <v>1512.45</v>
      </c>
      <c r="H218" s="140">
        <f>'3.XT-C KH'!S65</f>
        <v>1512.45</v>
      </c>
      <c r="I218" s="194">
        <f>'3.XT-C KH'!AA65</f>
        <v>1512.45</v>
      </c>
    </row>
    <row r="219" spans="1:11" ht="21.75" hidden="1" customHeight="1">
      <c r="A219" s="131">
        <v>8</v>
      </c>
      <c r="B219" s="3239" t="s">
        <v>36</v>
      </c>
      <c r="C219" s="3240"/>
      <c r="D219" s="193">
        <f>'3.XT-C KH'!K21</f>
        <v>0</v>
      </c>
      <c r="E219" s="140">
        <f>'3.XT-C KH'!S21</f>
        <v>0</v>
      </c>
      <c r="F219" s="140">
        <f>'3.XT-C KH'!AA21</f>
        <v>0</v>
      </c>
      <c r="G219" s="140">
        <f>'3.XT-C KH'!K66</f>
        <v>4729.05</v>
      </c>
      <c r="H219" s="140">
        <f>'3.XT-C KH'!S66</f>
        <v>4729.05</v>
      </c>
      <c r="I219" s="194">
        <f>'3.XT-C KH'!AA66</f>
        <v>4729.05</v>
      </c>
    </row>
    <row r="220" spans="1:11" ht="21.75" hidden="1" customHeight="1">
      <c r="A220" s="131">
        <v>10</v>
      </c>
      <c r="B220" s="3264" t="s">
        <v>111</v>
      </c>
      <c r="C220" s="3265" t="s">
        <v>111</v>
      </c>
      <c r="D220" s="195">
        <f>'3.XT-C KH'!K22</f>
        <v>0</v>
      </c>
      <c r="E220" s="144">
        <f>'3.XT-C KH'!S22</f>
        <v>0</v>
      </c>
      <c r="F220" s="144">
        <f>'3.XT-C KH'!AA22</f>
        <v>0</v>
      </c>
      <c r="G220" s="144">
        <f>'3.XT-C KH'!K67</f>
        <v>20.026490066225165</v>
      </c>
      <c r="H220" s="144">
        <f>'3.XT-C KH'!S67</f>
        <v>20.026490066225165</v>
      </c>
      <c r="I220" s="196">
        <f>'3.XT-C KH'!AA67</f>
        <v>20.026490066225165</v>
      </c>
    </row>
    <row r="221" spans="1:11" ht="21.75" hidden="1" customHeight="1">
      <c r="D221" s="185"/>
      <c r="E221" s="133"/>
      <c r="F221" s="133"/>
      <c r="G221" s="133"/>
      <c r="H221" s="133"/>
      <c r="I221" s="186"/>
    </row>
    <row r="222" spans="1:11" ht="21.75" hidden="1" customHeight="1">
      <c r="B222" s="3482" t="s">
        <v>1550</v>
      </c>
      <c r="C222" s="3482"/>
      <c r="D222" s="2258">
        <f>'3''''.XT-C KH'!I16</f>
        <v>13.7</v>
      </c>
      <c r="E222" s="2258">
        <f>'3''''.XT-C KH'!Q16</f>
        <v>14.1</v>
      </c>
      <c r="F222" s="2258">
        <f>'3''''.XT-C KH'!Y16</f>
        <v>14</v>
      </c>
      <c r="G222" s="2258">
        <f>'3''''.XT-C KH'!I58</f>
        <v>0</v>
      </c>
      <c r="H222" s="2258">
        <f>'3''''.XT-C KH'!Q58</f>
        <v>0</v>
      </c>
      <c r="I222" s="2258">
        <f>'3''''.XT-C KH'!Y58</f>
        <v>0</v>
      </c>
    </row>
    <row r="223" spans="1:11" ht="21.75" hidden="1" customHeight="1">
      <c r="B223" s="3482" t="s">
        <v>119</v>
      </c>
      <c r="C223" s="3482"/>
      <c r="D223" s="2258">
        <f>'3''''.XT-C KH'!I17</f>
        <v>1.67</v>
      </c>
      <c r="E223" s="2258">
        <f>'3''''.XT-C KH'!Q17</f>
        <v>1.71</v>
      </c>
      <c r="F223" s="2258">
        <f>'3''''.XT-C KH'!Y17</f>
        <v>1.69</v>
      </c>
      <c r="G223" s="2258">
        <f>'3''''.XT-C KH'!I59</f>
        <v>0</v>
      </c>
      <c r="H223" s="2258">
        <f>'3''''.XT-C KH'!Q59</f>
        <v>0</v>
      </c>
      <c r="I223" s="2258">
        <f>'3''''.XT-C KH'!Y59</f>
        <v>0</v>
      </c>
      <c r="K223" s="318" t="s">
        <v>357</v>
      </c>
    </row>
    <row r="224" spans="1:11" ht="21.75" hidden="1" customHeight="1">
      <c r="B224" s="3482" t="s">
        <v>1549</v>
      </c>
      <c r="C224" s="3482"/>
      <c r="D224" s="2258">
        <f>'3''''.XT-C KH'!K16</f>
        <v>10.080000000000023</v>
      </c>
      <c r="E224" s="2258">
        <f>'3''''.XT-C KH'!S16</f>
        <v>0</v>
      </c>
      <c r="F224" s="2258">
        <f>'3''''.XT-C KH'!AA16</f>
        <v>0</v>
      </c>
      <c r="G224" s="2258">
        <f>'3''''.XT-C KH'!K58</f>
        <v>470.4</v>
      </c>
      <c r="H224" s="2258">
        <f>'3''''.XT-C KH'!S58</f>
        <v>470.4</v>
      </c>
      <c r="I224" s="2258">
        <f>'3''''.XT-C KH'!AA58</f>
        <v>470.4</v>
      </c>
    </row>
    <row r="225" spans="2:9" ht="21.75" hidden="1" customHeight="1">
      <c r="B225" s="3482" t="s">
        <v>156</v>
      </c>
      <c r="C225" s="3482"/>
      <c r="D225" s="2258">
        <f>'3''''.XT-C KH'!I32</f>
        <v>0</v>
      </c>
      <c r="E225" s="2258">
        <f>'3''''.XT-C KH'!Q32</f>
        <v>0</v>
      </c>
      <c r="F225" s="2258">
        <f>'3''''.XT-C KH'!Y32</f>
        <v>0</v>
      </c>
      <c r="G225" s="2258">
        <f>'3''''.XT-C KH'!I74</f>
        <v>0</v>
      </c>
      <c r="H225" s="2258">
        <f>'3''''.XT-C KH'!Q74</f>
        <v>0</v>
      </c>
      <c r="I225" s="2258">
        <f>'3''''.XT-C KH'!Y74</f>
        <v>0</v>
      </c>
    </row>
    <row r="226" spans="2:9" ht="21.75" customHeight="1" thickBot="1">
      <c r="D226" s="200"/>
      <c r="E226" s="201"/>
      <c r="F226" s="201"/>
      <c r="G226" s="201"/>
      <c r="H226" s="201"/>
      <c r="I226" s="202"/>
    </row>
  </sheetData>
  <mergeCells count="131">
    <mergeCell ref="B220:C220"/>
    <mergeCell ref="A212:A213"/>
    <mergeCell ref="B212:B213"/>
    <mergeCell ref="A214:A215"/>
    <mergeCell ref="B214:C215"/>
    <mergeCell ref="B217:C217"/>
    <mergeCell ref="B219:C219"/>
    <mergeCell ref="A205:A207"/>
    <mergeCell ref="B205:B207"/>
    <mergeCell ref="A208:A209"/>
    <mergeCell ref="B208:B209"/>
    <mergeCell ref="A210:A211"/>
    <mergeCell ref="B210:B211"/>
    <mergeCell ref="B218:C218"/>
    <mergeCell ref="B199:C199"/>
    <mergeCell ref="A202:A204"/>
    <mergeCell ref="B202:B204"/>
    <mergeCell ref="B198:C198"/>
    <mergeCell ref="B195:C195"/>
    <mergeCell ref="B194:C194"/>
    <mergeCell ref="B193:C193"/>
    <mergeCell ref="B192:C192"/>
    <mergeCell ref="B191:C191"/>
    <mergeCell ref="B190:C190"/>
    <mergeCell ref="B189:C189"/>
    <mergeCell ref="B188:C188"/>
    <mergeCell ref="B185:C185"/>
    <mergeCell ref="A179:A180"/>
    <mergeCell ref="B179:C180"/>
    <mergeCell ref="B182:C182"/>
    <mergeCell ref="B184:C184"/>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20:C20"/>
    <mergeCell ref="A21:C21"/>
    <mergeCell ref="B22:C22"/>
    <mergeCell ref="B34:C34"/>
    <mergeCell ref="A31:C31"/>
    <mergeCell ref="B32:C32"/>
    <mergeCell ref="B29:C29"/>
    <mergeCell ref="B27:C27"/>
    <mergeCell ref="B25:C25"/>
    <mergeCell ref="B23:C23"/>
    <mergeCell ref="B222:C222"/>
    <mergeCell ref="B223:C223"/>
    <mergeCell ref="B224:C224"/>
    <mergeCell ref="B225:C225"/>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s>
  <phoneticPr fontId="7" type="noConversion"/>
  <pageMargins left="0.7" right="0.7" top="0.75" bottom="0.75" header="0.3" footer="0.3"/>
  <pageSetup paperSize="9" orientation="portrait" verticalDpi="0" r:id="rId1"/>
  <drawing r:id="rId2"/>
</worksheet>
</file>

<file path=xl/worksheets/sheet27.xml><?xml version="1.0" encoding="utf-8"?>
<worksheet xmlns="http://schemas.openxmlformats.org/spreadsheetml/2006/main" xmlns:r="http://schemas.openxmlformats.org/officeDocument/2006/relationships">
  <sheetPr codeName="Sheet15">
    <tabColor rgb="FFFF0000"/>
  </sheetPr>
  <dimension ref="A1:I188"/>
  <sheetViews>
    <sheetView zoomScale="85" zoomScaleNormal="85" workbookViewId="0">
      <selection activeCell="D5" sqref="D5:I188"/>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1985" t="str">
        <f>MENU!$AC$9</f>
        <v>Thứ 5,</v>
      </c>
      <c r="C1" s="3515" t="str">
        <f>MENU!$AD$9</f>
        <v>2024/08/01</v>
      </c>
      <c r="D1" s="3516"/>
      <c r="E1" s="3516"/>
      <c r="F1" s="3516"/>
    </row>
    <row r="2" spans="1:9" ht="26.25" customHeight="1"/>
    <row r="3" spans="1:9" ht="36" customHeight="1">
      <c r="A3" s="156"/>
      <c r="B3" s="249" t="s">
        <v>214</v>
      </c>
      <c r="C3" s="157"/>
      <c r="D3" s="141" t="s">
        <v>154</v>
      </c>
      <c r="E3" s="142"/>
      <c r="F3" s="142"/>
      <c r="G3" s="142"/>
      <c r="H3" s="142"/>
      <c r="I3" s="143"/>
    </row>
    <row r="4" spans="1:9" ht="21.75" customHeight="1" thickBot="1">
      <c r="A4" s="177"/>
      <c r="B4" s="157"/>
      <c r="C4" s="178"/>
      <c r="D4" s="152">
        <v>0.25</v>
      </c>
      <c r="E4" s="152">
        <v>0.41666666666666669</v>
      </c>
      <c r="F4" s="152">
        <v>0.58333333333333337</v>
      </c>
      <c r="G4" s="152">
        <v>0.75</v>
      </c>
      <c r="H4" s="152">
        <v>0.91666666666666663</v>
      </c>
      <c r="I4" s="153">
        <v>8.3333333333333329E-2</v>
      </c>
    </row>
    <row r="5" spans="1:9" ht="27" customHeight="1">
      <c r="A5" s="3483">
        <v>1</v>
      </c>
      <c r="B5" s="3485" t="s">
        <v>130</v>
      </c>
      <c r="C5" s="176" t="s">
        <v>99</v>
      </c>
      <c r="D5" s="180">
        <f>'1. XL-1E TT'!I6</f>
        <v>0</v>
      </c>
      <c r="E5" s="181">
        <f>'1. XL-1E TT'!M6</f>
        <v>26.6</v>
      </c>
      <c r="F5" s="181">
        <f>'1. XL-1E TT'!Q6</f>
        <v>32.799999999999997</v>
      </c>
      <c r="G5" s="181">
        <f>'1. XL-1E TT(CA2)'!I6</f>
        <v>33.6</v>
      </c>
      <c r="H5" s="181">
        <f>'1. XL-1E TT(CA2)'!M6</f>
        <v>32</v>
      </c>
      <c r="I5" s="182">
        <f>'1. XL-1E TT(CA2)'!Q6</f>
        <v>32.799999999999997</v>
      </c>
    </row>
    <row r="6" spans="1:9" ht="27" hidden="1" customHeight="1">
      <c r="A6" s="3483"/>
      <c r="B6" s="3485"/>
      <c r="C6" s="176"/>
      <c r="D6" s="185"/>
      <c r="E6" s="133"/>
      <c r="F6" s="133"/>
      <c r="G6" s="133">
        <f>'1. XL-1E TT(CA2)'!I7</f>
        <v>0</v>
      </c>
      <c r="H6" s="133">
        <f>'1. XL-1E TT(CA2)'!M7</f>
        <v>0</v>
      </c>
      <c r="I6" s="186">
        <f>'1. XL-1E TT(CA2)'!Q7</f>
        <v>0</v>
      </c>
    </row>
    <row r="7" spans="1:9" ht="21.75" hidden="1" customHeight="1">
      <c r="A7" s="3484"/>
      <c r="B7" s="3486"/>
      <c r="C7" s="179" t="s">
        <v>127</v>
      </c>
      <c r="D7" s="185">
        <f>'1. XL-1E TT'!I8</f>
        <v>0</v>
      </c>
      <c r="E7" s="133">
        <f>'1. XL-1E TT'!M8</f>
        <v>0</v>
      </c>
      <c r="F7" s="133">
        <f>'1. XL-1E TT'!Q8</f>
        <v>0</v>
      </c>
      <c r="G7" s="133">
        <f>'1. XL-1E TT(CA2)'!I8</f>
        <v>0</v>
      </c>
      <c r="H7" s="133">
        <f>'1. XL-1E TT(CA2)'!M8</f>
        <v>0</v>
      </c>
      <c r="I7" s="186">
        <f>'1. XL-1E TT(CA2)'!Q8</f>
        <v>0</v>
      </c>
    </row>
    <row r="8" spans="1:9" ht="21.75" hidden="1" customHeight="1">
      <c r="A8" s="3378">
        <v>2</v>
      </c>
      <c r="B8" s="3487" t="s">
        <v>144</v>
      </c>
      <c r="C8" s="159" t="s">
        <v>99</v>
      </c>
      <c r="D8" s="185">
        <f>'1. XL-1E TT'!I9</f>
        <v>0</v>
      </c>
      <c r="E8" s="133">
        <f>'1. XL-1E TT'!M9</f>
        <v>31</v>
      </c>
      <c r="F8" s="133">
        <f>'1. XL-1E TT'!Q9</f>
        <v>30.2</v>
      </c>
      <c r="G8" s="133">
        <f>'1. XL-1E TT(CA2)'!I9</f>
        <v>31.2</v>
      </c>
      <c r="H8" s="133">
        <f>'1. XL-1E TT(CA2)'!M9</f>
        <v>32</v>
      </c>
      <c r="I8" s="186">
        <f>'1. XL-1E TT(CA2)'!Q9</f>
        <v>32</v>
      </c>
    </row>
    <row r="9" spans="1:9" ht="21.75" hidden="1" customHeight="1">
      <c r="A9" s="3378"/>
      <c r="B9" s="3487"/>
      <c r="C9" s="1510"/>
      <c r="D9" s="185"/>
      <c r="E9" s="133"/>
      <c r="F9" s="133"/>
      <c r="G9" s="133">
        <f>'1. XL-1E TT(CA2)'!I10</f>
        <v>0</v>
      </c>
      <c r="H9" s="133">
        <f>'1. XL-1E TT(CA2)'!M10</f>
        <v>0</v>
      </c>
      <c r="I9" s="186">
        <f>'1. XL-1E TT(CA2)'!Q10</f>
        <v>0</v>
      </c>
    </row>
    <row r="10" spans="1:9" ht="21.75" hidden="1" customHeight="1">
      <c r="A10" s="3377"/>
      <c r="B10" s="3488"/>
      <c r="C10" s="136" t="s">
        <v>127</v>
      </c>
      <c r="D10" s="185">
        <f>'1. XL-1E TT'!I11</f>
        <v>0</v>
      </c>
      <c r="E10" s="133">
        <f>'1. XL-1E TT'!M11</f>
        <v>0</v>
      </c>
      <c r="F10" s="133">
        <f>'1. XL-1E TT'!Q11</f>
        <v>0</v>
      </c>
      <c r="G10" s="133">
        <f>'1. XL-1E TT(CA2)'!I11</f>
        <v>0</v>
      </c>
      <c r="H10" s="133">
        <f>'1. XL-1E TT(CA2)'!M11</f>
        <v>0</v>
      </c>
      <c r="I10" s="186">
        <f>'1. XL-1E TT(CA2)'!Q11</f>
        <v>0</v>
      </c>
    </row>
    <row r="11" spans="1:9" ht="21.75" hidden="1" customHeight="1">
      <c r="A11" s="3376">
        <v>3</v>
      </c>
      <c r="B11" s="3493" t="s">
        <v>142</v>
      </c>
      <c r="C11" s="135" t="s">
        <v>99</v>
      </c>
      <c r="D11" s="185">
        <f>'1. XL-1E TT'!I12</f>
        <v>0</v>
      </c>
      <c r="E11" s="133">
        <f>'1. XL-1E TT'!M12</f>
        <v>77</v>
      </c>
      <c r="F11" s="133">
        <f>'1. XL-1E TT'!Q12</f>
        <v>78</v>
      </c>
      <c r="G11" s="133">
        <f>'1. XL-1E TT(CA2)'!I12</f>
        <v>75.2</v>
      </c>
      <c r="H11" s="133">
        <f>'1. XL-1E TT(CA2)'!M12</f>
        <v>79.2</v>
      </c>
      <c r="I11" s="186">
        <f>'1. XL-1E TT(CA2)'!Q12</f>
        <v>78.8</v>
      </c>
    </row>
    <row r="12" spans="1:9" ht="21.75" hidden="1" customHeight="1">
      <c r="A12" s="3377"/>
      <c r="B12" s="3488"/>
      <c r="C12" s="136" t="s">
        <v>127</v>
      </c>
      <c r="D12" s="185">
        <f>'1. XL-1E TT'!I13</f>
        <v>0</v>
      </c>
      <c r="E12" s="133">
        <f>'1. XL-1E TT'!M13</f>
        <v>0</v>
      </c>
      <c r="F12" s="133">
        <f>'1. XL-1E TT'!Q13</f>
        <v>0</v>
      </c>
      <c r="G12" s="133">
        <f>'1. XL-1E TT(CA2)'!I13</f>
        <v>0</v>
      </c>
      <c r="H12" s="133">
        <f>'1. XL-1E TT(CA2)'!M13</f>
        <v>0</v>
      </c>
      <c r="I12" s="186">
        <f>'1. XL-1E TT(CA2)'!Q13</f>
        <v>0</v>
      </c>
    </row>
    <row r="13" spans="1:9" ht="21.75" hidden="1" customHeight="1">
      <c r="A13" s="3376">
        <v>4</v>
      </c>
      <c r="B13" s="3493" t="s">
        <v>143</v>
      </c>
      <c r="C13" s="135" t="s">
        <v>99</v>
      </c>
      <c r="D13" s="185">
        <f>'1. XL-1E TT'!I14</f>
        <v>0</v>
      </c>
      <c r="E13" s="133">
        <f>'1. XL-1E TT'!M14</f>
        <v>72.599999999999994</v>
      </c>
      <c r="F13" s="133">
        <f>'1. XL-1E TT'!Q14</f>
        <v>72.400000000000006</v>
      </c>
      <c r="G13" s="133">
        <f>'1. XL-1E TT(CA2)'!I14</f>
        <v>69.2</v>
      </c>
      <c r="H13" s="133">
        <f>'1. XL-1E TT(CA2)'!M14</f>
        <v>68</v>
      </c>
      <c r="I13" s="186">
        <f>'1. XL-1E TT(CA2)'!Q14</f>
        <v>68</v>
      </c>
    </row>
    <row r="14" spans="1:9" ht="21.75" hidden="1" customHeight="1">
      <c r="A14" s="3377"/>
      <c r="B14" s="3488"/>
      <c r="C14" s="136" t="s">
        <v>127</v>
      </c>
      <c r="D14" s="185">
        <f>'1. XL-1E TT'!I15</f>
        <v>0</v>
      </c>
      <c r="E14" s="133">
        <f>'1. XL-1E TT'!M15</f>
        <v>0</v>
      </c>
      <c r="F14" s="133">
        <f>'1. XL-1E TT'!Q15</f>
        <v>0</v>
      </c>
      <c r="G14" s="133">
        <f>'1. XL-1E TT(CA2)'!I15</f>
        <v>0</v>
      </c>
      <c r="H14" s="133">
        <f>'1. XL-1E TT(CA2)'!M15</f>
        <v>0</v>
      </c>
      <c r="I14" s="186">
        <f>'1. XL-1E TT(CA2)'!Q15</f>
        <v>0</v>
      </c>
    </row>
    <row r="15" spans="1:9" ht="21.75" hidden="1" customHeight="1">
      <c r="A15" s="3376">
        <v>5</v>
      </c>
      <c r="B15" s="3216" t="s">
        <v>94</v>
      </c>
      <c r="C15" s="229" t="s">
        <v>93</v>
      </c>
      <c r="D15" s="185">
        <f>'1. XL-1E TT'!I16</f>
        <v>0</v>
      </c>
      <c r="E15" s="133">
        <f>'1. XL-1E TT'!M16</f>
        <v>133.6</v>
      </c>
      <c r="F15" s="133">
        <f>'1. XL-1E TT'!Q16</f>
        <v>140.80000000000001</v>
      </c>
      <c r="G15" s="133">
        <f>'1. XL-1E TT(CA2)'!I16</f>
        <v>143.19999999999999</v>
      </c>
      <c r="H15" s="133">
        <f>'1. XL-1E TT(CA2)'!M16</f>
        <v>142.4</v>
      </c>
      <c r="I15" s="186">
        <f>'1. XL-1E TT(CA2)'!Q16</f>
        <v>142.4</v>
      </c>
    </row>
    <row r="16" spans="1:9" ht="21.75" hidden="1" customHeight="1">
      <c r="A16" s="3377"/>
      <c r="B16" s="3217"/>
      <c r="C16" s="229" t="s">
        <v>56</v>
      </c>
      <c r="D16" s="185">
        <f>'1. XL-1E TT'!I17</f>
        <v>0</v>
      </c>
      <c r="E16" s="133">
        <f>'1. XL-1E TT'!M17</f>
        <v>12.740000000000002</v>
      </c>
      <c r="F16" s="133">
        <f>'1. XL-1E TT'!Q17</f>
        <v>12.48</v>
      </c>
      <c r="G16" s="133">
        <f>'1. XL-1E TT(CA2)'!I17</f>
        <v>11.440000000000001</v>
      </c>
      <c r="H16" s="133">
        <f>'1. XL-1E TT(CA2)'!M17</f>
        <v>10.790000000000001</v>
      </c>
      <c r="I16" s="186">
        <f>'1. XL-1E TT(CA2)'!Q17</f>
        <v>10.595000000000001</v>
      </c>
    </row>
    <row r="17" spans="1:9" ht="21.75" hidden="1" customHeight="1">
      <c r="A17" s="3376">
        <v>6</v>
      </c>
      <c r="B17" s="3489" t="s">
        <v>95</v>
      </c>
      <c r="C17" s="3490"/>
      <c r="D17" s="185">
        <f>'1. XL-1E TT'!I18</f>
        <v>0</v>
      </c>
      <c r="E17" s="133">
        <f>'1. XL-1E TT'!M18</f>
        <v>15.827338129496402</v>
      </c>
      <c r="F17" s="133">
        <f>'1. XL-1E TT'!Q18</f>
        <v>15.827338129496402</v>
      </c>
      <c r="G17" s="133">
        <f>'1. XL-1E TT(CA2)'!I18</f>
        <v>18.129496402877699</v>
      </c>
      <c r="H17" s="133">
        <f>'1. XL-1E TT(CA2)'!M18</f>
        <v>15.25179856115108</v>
      </c>
      <c r="I17" s="186">
        <f>'1. XL-1E TT(CA2)'!Q18</f>
        <v>14.676258992805753</v>
      </c>
    </row>
    <row r="18" spans="1:9" ht="21.75" hidden="1" customHeight="1">
      <c r="A18" s="3377"/>
      <c r="B18" s="3491"/>
      <c r="C18" s="3392"/>
      <c r="D18" s="185">
        <f>'1. XL-1E TT'!I19</f>
        <v>0</v>
      </c>
      <c r="E18" s="133">
        <f>'1. XL-1E TT'!M19</f>
        <v>1.63</v>
      </c>
      <c r="F18" s="133">
        <f>'1. XL-1E TT'!Q19</f>
        <v>1.64</v>
      </c>
      <c r="G18" s="133">
        <f>'1. XL-1E TT(CA2)'!I19</f>
        <v>1.8</v>
      </c>
      <c r="H18" s="133">
        <f>'1. XL-1E TT(CA2)'!M19</f>
        <v>1.8</v>
      </c>
      <c r="I18" s="186">
        <f>'1. XL-1E TT(CA2)'!Q19</f>
        <v>1.76</v>
      </c>
    </row>
    <row r="19" spans="1:9" ht="21.75" hidden="1" customHeight="1">
      <c r="A19" s="102">
        <v>7</v>
      </c>
      <c r="B19" s="3130" t="s">
        <v>57</v>
      </c>
      <c r="C19" s="3492"/>
      <c r="D19" s="185">
        <f>'1. XL-1E TT'!I20</f>
        <v>0</v>
      </c>
      <c r="E19" s="133">
        <f>'1. XL-1E TT'!M20</f>
        <v>0.43343749999999998</v>
      </c>
      <c r="F19" s="133">
        <f>'1. XL-1E TT'!Q20</f>
        <v>0.47906250000000006</v>
      </c>
      <c r="G19" s="133">
        <f>'1. XL-1E TT(CA2)'!I20</f>
        <v>0.49046874999999995</v>
      </c>
      <c r="H19" s="133">
        <f>'1. XL-1E TT(CA2)'!M20</f>
        <v>0.46765624999999994</v>
      </c>
      <c r="I19" s="186">
        <f>'1. XL-1E TT(CA2)'!Q20</f>
        <v>0.46195312499999991</v>
      </c>
    </row>
    <row r="20" spans="1:9" ht="21.75" hidden="1" customHeight="1">
      <c r="A20" s="102">
        <v>8</v>
      </c>
      <c r="B20" s="3130" t="s">
        <v>58</v>
      </c>
      <c r="C20" s="3492"/>
      <c r="D20" s="185">
        <f>'1. XL-1E TT'!I21</f>
        <v>0</v>
      </c>
      <c r="E20" s="133">
        <f>'1. XL-1E TT'!M21</f>
        <v>0</v>
      </c>
      <c r="F20" s="133">
        <f>'1. XL-1E TT'!Q21</f>
        <v>0</v>
      </c>
      <c r="G20" s="133">
        <f>'1. XL-1E TT(CA2)'!I21</f>
        <v>0</v>
      </c>
      <c r="H20" s="133">
        <f>'1. XL-1E TT(CA2)'!M21</f>
        <v>0</v>
      </c>
      <c r="I20" s="186">
        <f>'1. XL-1E TT(CA2)'!Q21</f>
        <v>0</v>
      </c>
    </row>
    <row r="21" spans="1:9" ht="21.75" hidden="1" customHeight="1">
      <c r="A21" s="102">
        <v>9</v>
      </c>
      <c r="B21" s="3130" t="s">
        <v>59</v>
      </c>
      <c r="C21" s="3492"/>
      <c r="D21" s="185">
        <f>'1. XL-1E TT'!I22</f>
        <v>0</v>
      </c>
      <c r="E21" s="133">
        <f>'1. XL-1E TT'!M22</f>
        <v>0.13459375000000001</v>
      </c>
      <c r="F21" s="133">
        <f>'1. XL-1E TT'!Q22</f>
        <v>0.18478124999999998</v>
      </c>
      <c r="G21" s="133">
        <f>'1. XL-1E TT(CA2)'!I22</f>
        <v>0.17109374999999999</v>
      </c>
      <c r="H21" s="133">
        <f>'1. XL-1E TT(CA2)'!M22</f>
        <v>0.15284375</v>
      </c>
      <c r="I21" s="186">
        <f>'1. XL-1E TT(CA2)'!Q22</f>
        <v>0.1140625</v>
      </c>
    </row>
    <row r="22" spans="1:9" ht="21.75" hidden="1" customHeight="1">
      <c r="A22" s="102">
        <v>10</v>
      </c>
      <c r="B22" s="3130" t="s">
        <v>96</v>
      </c>
      <c r="C22" s="3492"/>
      <c r="D22" s="183">
        <f>'1. XL-1E TT'!I23</f>
        <v>0</v>
      </c>
      <c r="E22" s="1513" t="str">
        <f>'1. XL-1E TT'!M23</f>
        <v>chưa fa</v>
      </c>
      <c r="F22" s="1513" t="str">
        <f>'1. XL-1E TT'!Q23</f>
        <v>chưa fa</v>
      </c>
      <c r="G22" s="1513">
        <f>'1. XL-1E TT(CA2)'!I23</f>
        <v>8.1899999999999994E-3</v>
      </c>
      <c r="H22" s="1513">
        <f>'1. XL-1E TT(CA2)'!M23</f>
        <v>8.9459999999999991E-3</v>
      </c>
      <c r="I22" s="184">
        <f>'1. XL-1E TT(CA2)'!Q23</f>
        <v>7.5599999999999999E-3</v>
      </c>
    </row>
    <row r="23" spans="1:9" ht="21.75" hidden="1" customHeight="1">
      <c r="A23" s="3495" t="s">
        <v>72</v>
      </c>
      <c r="B23" s="3495"/>
      <c r="C23" s="3496"/>
      <c r="D23" s="187" t="s">
        <v>156</v>
      </c>
      <c r="E23" s="142"/>
      <c r="F23" s="142"/>
      <c r="G23" s="142"/>
      <c r="H23" s="142"/>
      <c r="I23" s="188"/>
    </row>
    <row r="24" spans="1:9" ht="21.75" hidden="1" customHeight="1">
      <c r="A24" s="138" t="s">
        <v>7</v>
      </c>
      <c r="B24" s="3496" t="s">
        <v>60</v>
      </c>
      <c r="C24" s="3497"/>
      <c r="D24" s="189">
        <v>0.25</v>
      </c>
      <c r="E24" s="145">
        <v>0.41666666666666669</v>
      </c>
      <c r="F24" s="145">
        <v>0.58333333333333337</v>
      </c>
      <c r="G24" s="145">
        <v>0.75</v>
      </c>
      <c r="H24" s="145">
        <v>0.91666666666666663</v>
      </c>
      <c r="I24" s="190">
        <v>8.3333333333333329E-2</v>
      </c>
    </row>
    <row r="25" spans="1:9" ht="21.75" hidden="1" customHeight="1">
      <c r="A25" s="102">
        <v>1</v>
      </c>
      <c r="B25" s="3140" t="s">
        <v>64</v>
      </c>
      <c r="C25" s="3141"/>
      <c r="D25" s="185">
        <f>'1. XL-1E TT'!I28</f>
        <v>0</v>
      </c>
      <c r="E25" s="133">
        <f>'1. XL-1E TT'!M28</f>
        <v>62</v>
      </c>
      <c r="F25" s="133">
        <f>'1. XL-1E TT'!Q28</f>
        <v>62</v>
      </c>
      <c r="G25" s="133">
        <f>'1. XL-1E TT(CA2)'!I28</f>
        <v>63</v>
      </c>
      <c r="H25" s="133">
        <f>'1. XL-1E TT(CA2)'!M28</f>
        <v>62</v>
      </c>
      <c r="I25" s="186">
        <f>'1. XL-1E TT(CA2)'!Q28</f>
        <v>63</v>
      </c>
    </row>
    <row r="26" spans="1:9" ht="21.75" hidden="1" customHeight="1">
      <c r="A26" s="102">
        <v>2</v>
      </c>
      <c r="B26" s="3140" t="s">
        <v>65</v>
      </c>
      <c r="C26" s="3141" t="s">
        <v>65</v>
      </c>
      <c r="D26" s="185">
        <f>'1. XL-1E TT'!I29</f>
        <v>0</v>
      </c>
      <c r="E26" s="133">
        <f>'1. XL-1E TT'!M29</f>
        <v>60</v>
      </c>
      <c r="F26" s="133">
        <f>'1. XL-1E TT'!Q29</f>
        <v>60</v>
      </c>
      <c r="G26" s="133">
        <f>'1. XL-1E TT(CA2)'!I29</f>
        <v>61</v>
      </c>
      <c r="H26" s="133">
        <f>'1. XL-1E TT(CA2)'!M29</f>
        <v>61</v>
      </c>
      <c r="I26" s="186">
        <f>'1. XL-1E TT(CA2)'!Q29</f>
        <v>60</v>
      </c>
    </row>
    <row r="27" spans="1:9" ht="21.75" hidden="1" customHeight="1">
      <c r="A27" s="102">
        <v>3</v>
      </c>
      <c r="B27" s="3140" t="s">
        <v>67</v>
      </c>
      <c r="C27" s="3141" t="s">
        <v>67</v>
      </c>
      <c r="D27" s="185">
        <f>'1. XL-1E TT'!I30</f>
        <v>0</v>
      </c>
      <c r="E27" s="133">
        <f>'1. XL-1E TT'!M30</f>
        <v>53</v>
      </c>
      <c r="F27" s="133">
        <f>'1. XL-1E TT'!Q30</f>
        <v>53</v>
      </c>
      <c r="G27" s="133">
        <f>'1. XL-1E TT(CA2)'!I30</f>
        <v>54</v>
      </c>
      <c r="H27" s="133">
        <f>'1. XL-1E TT(CA2)'!M30</f>
        <v>53</v>
      </c>
      <c r="I27" s="186">
        <f>'1. XL-1E TT(CA2)'!Q30</f>
        <v>53</v>
      </c>
    </row>
    <row r="28" spans="1:9" ht="21.75" hidden="1" customHeight="1">
      <c r="A28" s="102">
        <v>4</v>
      </c>
      <c r="B28" s="3140" t="s">
        <v>66</v>
      </c>
      <c r="C28" s="3141" t="s">
        <v>66</v>
      </c>
      <c r="D28" s="185">
        <f>'1. XL-1E TT'!I31</f>
        <v>0</v>
      </c>
      <c r="E28" s="133">
        <f>'1. XL-1E TT'!M31</f>
        <v>55</v>
      </c>
      <c r="F28" s="133">
        <f>'1. XL-1E TT'!Q31</f>
        <v>54</v>
      </c>
      <c r="G28" s="133">
        <f>'1. XL-1E TT(CA2)'!I31</f>
        <v>50</v>
      </c>
      <c r="H28" s="133">
        <f>'1. XL-1E TT(CA2)'!M31</f>
        <v>48</v>
      </c>
      <c r="I28" s="186">
        <f>'1. XL-1E TT(CA2)'!Q31</f>
        <v>49</v>
      </c>
    </row>
    <row r="29" spans="1:9" ht="21.75" hidden="1" customHeight="1">
      <c r="A29" s="102">
        <v>5</v>
      </c>
      <c r="B29" s="3140" t="s">
        <v>68</v>
      </c>
      <c r="C29" s="3141" t="s">
        <v>68</v>
      </c>
      <c r="D29" s="185">
        <f>'1. XL-1E TT'!I32</f>
        <v>0</v>
      </c>
      <c r="E29" s="133">
        <f>'1. XL-1E TT'!M32</f>
        <v>28</v>
      </c>
      <c r="F29" s="133">
        <f>'1. XL-1E TT'!Q32</f>
        <v>26</v>
      </c>
      <c r="G29" s="133">
        <f>'1. XL-1E TT(CA2)'!I32</f>
        <v>31</v>
      </c>
      <c r="H29" s="133">
        <f>'1. XL-1E TT(CA2)'!M32</f>
        <v>30</v>
      </c>
      <c r="I29" s="186">
        <f>'1. XL-1E TT(CA2)'!Q32</f>
        <v>29</v>
      </c>
    </row>
    <row r="30" spans="1:9" ht="21.75" hidden="1" customHeight="1">
      <c r="A30" s="102">
        <v>6</v>
      </c>
      <c r="B30" s="3140" t="s">
        <v>83</v>
      </c>
      <c r="C30" s="3141" t="s">
        <v>83</v>
      </c>
      <c r="D30" s="185">
        <f>'1. XL-1E TT'!I33</f>
        <v>0</v>
      </c>
      <c r="E30" s="133">
        <f>'1. XL-1E TT'!M33</f>
        <v>33</v>
      </c>
      <c r="F30" s="133">
        <f>'1. XL-1E TT'!Q33</f>
        <v>37</v>
      </c>
      <c r="G30" s="133">
        <f>'1. XL-1E TT(CA2)'!I33</f>
        <v>37</v>
      </c>
      <c r="H30" s="133">
        <f>'1. XL-1E TT(CA2)'!M33</f>
        <v>37</v>
      </c>
      <c r="I30" s="186">
        <f>'1. XL-1E TT(CA2)'!Q33</f>
        <v>38</v>
      </c>
    </row>
    <row r="31" spans="1:9" ht="21.75" hidden="1" customHeight="1">
      <c r="A31" s="102">
        <v>7</v>
      </c>
      <c r="B31" s="3140" t="s">
        <v>69</v>
      </c>
      <c r="C31" s="3141" t="s">
        <v>69</v>
      </c>
      <c r="D31" s="185">
        <f>'1. XL-1E TT'!I34</f>
        <v>0</v>
      </c>
      <c r="E31" s="133">
        <f>'1. XL-1E TT'!M34</f>
        <v>44</v>
      </c>
      <c r="F31" s="133">
        <f>'1. XL-1E TT'!Q34</f>
        <v>61</v>
      </c>
      <c r="G31" s="133">
        <f>'1. XL-1E TT(CA2)'!I34</f>
        <v>57</v>
      </c>
      <c r="H31" s="133">
        <f>'1. XL-1E TT(CA2)'!M34</f>
        <v>54</v>
      </c>
      <c r="I31" s="186">
        <f>'1. XL-1E TT(CA2)'!Q34</f>
        <v>56</v>
      </c>
    </row>
    <row r="32" spans="1:9" ht="21.75" hidden="1" customHeight="1">
      <c r="A32" s="102">
        <v>8</v>
      </c>
      <c r="B32" s="3140" t="s">
        <v>70</v>
      </c>
      <c r="C32" s="3141" t="s">
        <v>70</v>
      </c>
      <c r="D32" s="185">
        <f>'1. XL-1E TT'!K35</f>
        <v>0</v>
      </c>
      <c r="E32" s="133" t="str">
        <f>'1. XL-1E TT'!O35</f>
        <v>chưa mở</v>
      </c>
      <c r="F32" s="133" t="str">
        <f>'1. XL-1E TT'!S35</f>
        <v>chưa mở</v>
      </c>
      <c r="G32" s="133">
        <f>'1. XL-1E TT(CA2)'!K35</f>
        <v>92</v>
      </c>
      <c r="H32" s="133">
        <f>'1. XL-1E TT(CA2)'!O35</f>
        <v>89</v>
      </c>
      <c r="I32" s="186">
        <f>'1. XL-1E TT(CA2)'!S35</f>
        <v>89</v>
      </c>
    </row>
    <row r="33" spans="1:9" ht="21.75" hidden="1" customHeight="1">
      <c r="A33" s="3495" t="s">
        <v>74</v>
      </c>
      <c r="B33" s="3495"/>
      <c r="C33" s="3496"/>
      <c r="D33" s="187" t="s">
        <v>157</v>
      </c>
      <c r="E33" s="142"/>
      <c r="F33" s="142"/>
      <c r="G33" s="142"/>
      <c r="H33" s="142"/>
      <c r="I33" s="188"/>
    </row>
    <row r="34" spans="1:9" ht="21.75" hidden="1" customHeight="1">
      <c r="A34" s="138" t="s">
        <v>7</v>
      </c>
      <c r="B34" s="3496" t="s">
        <v>91</v>
      </c>
      <c r="C34" s="3497"/>
      <c r="D34" s="191">
        <v>0.25</v>
      </c>
      <c r="E34" s="137">
        <v>0.41666666666666669</v>
      </c>
      <c r="F34" s="137">
        <v>0.58333333333333337</v>
      </c>
      <c r="G34" s="137">
        <v>0.75</v>
      </c>
      <c r="H34" s="137">
        <v>0.91666666666666663</v>
      </c>
      <c r="I34" s="192">
        <v>8.3333333333333329E-2</v>
      </c>
    </row>
    <row r="35" spans="1:9" ht="21.75" hidden="1" customHeight="1">
      <c r="A35" s="102">
        <v>1</v>
      </c>
      <c r="B35" s="3130" t="s">
        <v>97</v>
      </c>
      <c r="C35" s="3494"/>
      <c r="D35" s="185">
        <f>'1. XL-1E TT'!I38</f>
        <v>0</v>
      </c>
      <c r="E35" s="133">
        <f>'1. XL-1E TT'!M38</f>
        <v>0</v>
      </c>
      <c r="F35" s="133">
        <f>'1. XL-1E TT'!Q38</f>
        <v>0</v>
      </c>
      <c r="G35" s="1511">
        <f>'1. XL-1E TT(CA2)'!I38</f>
        <v>460</v>
      </c>
      <c r="H35" s="1511">
        <f>'1. XL-1E TT(CA2)'!M38</f>
        <v>450</v>
      </c>
      <c r="I35" s="1512">
        <f>'1. XL-1E TT(CA2)'!Q38</f>
        <v>455</v>
      </c>
    </row>
    <row r="36" spans="1:9" ht="21.75" hidden="1" customHeight="1">
      <c r="A36" s="102">
        <v>2</v>
      </c>
      <c r="B36" s="3130" t="s">
        <v>98</v>
      </c>
      <c r="C36" s="3494"/>
      <c r="D36" s="185">
        <f>'1. XL-1E TT'!I39</f>
        <v>0</v>
      </c>
      <c r="E36" s="133">
        <f>'1. XL-1E TT'!M39</f>
        <v>0</v>
      </c>
      <c r="F36" s="133">
        <f>'1. XL-1E TT'!Q39</f>
        <v>0</v>
      </c>
      <c r="G36" s="1511" t="str">
        <f>'1. XL-1E TT(CA2)'!I39</f>
        <v xml:space="preserve">SHOP </v>
      </c>
      <c r="H36" s="1511" t="str">
        <f>'1. XL-1E TT(CA2)'!M39</f>
        <v xml:space="preserve">SHOP </v>
      </c>
      <c r="I36" s="1512" t="str">
        <f>'1. XL-1E TT(CA2)'!Q39</f>
        <v xml:space="preserve">SHOP </v>
      </c>
    </row>
    <row r="37" spans="1:9" ht="21.75" hidden="1" customHeight="1">
      <c r="A37" s="139"/>
      <c r="B37" s="139"/>
      <c r="C37" s="139"/>
      <c r="D37" s="187" t="s">
        <v>155</v>
      </c>
      <c r="E37" s="142"/>
      <c r="F37" s="142"/>
      <c r="G37" s="142"/>
      <c r="H37" s="142"/>
      <c r="I37" s="188"/>
    </row>
    <row r="38" spans="1:9" ht="21.75" hidden="1" customHeight="1">
      <c r="A38" s="139"/>
      <c r="B38" s="139"/>
      <c r="C38" s="139"/>
      <c r="D38" s="191">
        <v>0.25</v>
      </c>
      <c r="E38" s="137">
        <v>0.41666666666666669</v>
      </c>
      <c r="F38" s="137">
        <v>0.58333333333333337</v>
      </c>
      <c r="G38" s="137">
        <v>0.75</v>
      </c>
      <c r="H38" s="137">
        <v>0.91666666666666663</v>
      </c>
      <c r="I38" s="192">
        <v>8.3333333333333329E-2</v>
      </c>
    </row>
    <row r="39" spans="1:9" ht="21.75" hidden="1" customHeight="1">
      <c r="A39" s="3376">
        <v>1</v>
      </c>
      <c r="B39" s="3493" t="s">
        <v>130</v>
      </c>
      <c r="C39" s="135" t="s">
        <v>99</v>
      </c>
      <c r="D39" s="193">
        <f>'1. XL-1E TT'!K6</f>
        <v>0</v>
      </c>
      <c r="E39" s="140">
        <f>'1. XL-1E TT'!O6</f>
        <v>9.1561999999999948</v>
      </c>
      <c r="F39" s="140">
        <f>'1. XL-1E TT'!S6</f>
        <v>0</v>
      </c>
      <c r="G39" s="140">
        <f>'1. XL-1E TT(CA2)'!K6</f>
        <v>0</v>
      </c>
      <c r="H39" s="140">
        <f>'1. XL-1E TT(CA2)'!O6</f>
        <v>0</v>
      </c>
      <c r="I39" s="194">
        <f>'1. XL-1E TT(CA2)'!S6</f>
        <v>0</v>
      </c>
    </row>
    <row r="40" spans="1:9" ht="21.75" hidden="1" customHeight="1">
      <c r="A40" s="3378"/>
      <c r="B40" s="3487"/>
      <c r="C40" s="135"/>
      <c r="D40" s="193"/>
      <c r="E40" s="140"/>
      <c r="F40" s="140"/>
      <c r="G40" s="140">
        <f>'1. XL-1E TT(CA2)'!K7</f>
        <v>0</v>
      </c>
      <c r="H40" s="140">
        <f>'1. XL-1E TT(CA2)'!O7</f>
        <v>0</v>
      </c>
      <c r="I40" s="194">
        <f>'1. XL-1E TT(CA2)'!S7</f>
        <v>0</v>
      </c>
    </row>
    <row r="41" spans="1:9" ht="21.75" hidden="1" customHeight="1">
      <c r="A41" s="3377"/>
      <c r="B41" s="3488"/>
      <c r="C41" s="136" t="s">
        <v>127</v>
      </c>
      <c r="D41" s="193">
        <f>'1. XL-1E TT'!K8</f>
        <v>0</v>
      </c>
      <c r="E41" s="140">
        <f>'1. XL-1E TT'!O8</f>
        <v>3.0764831999999984</v>
      </c>
      <c r="F41" s="140">
        <f>'1. XL-1E TT'!S8</f>
        <v>0</v>
      </c>
      <c r="G41" s="140">
        <f>'1. XL-1E TT(CA2)'!K8</f>
        <v>0</v>
      </c>
      <c r="H41" s="140">
        <f>'1. XL-1E TT(CA2)'!O8</f>
        <v>0</v>
      </c>
      <c r="I41" s="194">
        <f>'1. XL-1E TT(CA2)'!S8</f>
        <v>0</v>
      </c>
    </row>
    <row r="42" spans="1:9" ht="21.75" hidden="1" customHeight="1">
      <c r="A42" s="3376">
        <v>2</v>
      </c>
      <c r="B42" s="3493" t="s">
        <v>144</v>
      </c>
      <c r="C42" s="135" t="s">
        <v>99</v>
      </c>
      <c r="D42" s="193">
        <f>'1. XL-1E TT'!K9</f>
        <v>0</v>
      </c>
      <c r="E42" s="140">
        <f>'1. XL-1E TT'!O9</f>
        <v>0</v>
      </c>
      <c r="F42" s="140">
        <f>'1. XL-1E TT'!S9</f>
        <v>0</v>
      </c>
      <c r="G42" s="140">
        <f>'1. XL-1E TT(CA2)'!K9</f>
        <v>0</v>
      </c>
      <c r="H42" s="140">
        <f>'1. XL-1E TT(CA2)'!O9</f>
        <v>0</v>
      </c>
      <c r="I42" s="194">
        <f>'1. XL-1E TT(CA2)'!S9</f>
        <v>0</v>
      </c>
    </row>
    <row r="43" spans="1:9" ht="21.75" hidden="1" customHeight="1">
      <c r="A43" s="3378"/>
      <c r="B43" s="3487"/>
      <c r="C43" s="135"/>
      <c r="D43" s="193"/>
      <c r="E43" s="140"/>
      <c r="F43" s="140"/>
      <c r="G43" s="140">
        <f>'1. XL-1E TT(CA2)'!K10</f>
        <v>0</v>
      </c>
      <c r="H43" s="140">
        <f>'1. XL-1E TT(CA2)'!O10</f>
        <v>0</v>
      </c>
      <c r="I43" s="194">
        <f>'1. XL-1E TT(CA2)'!S10</f>
        <v>0</v>
      </c>
    </row>
    <row r="44" spans="1:9" ht="21.75" hidden="1" customHeight="1">
      <c r="A44" s="3377"/>
      <c r="B44" s="3488"/>
      <c r="C44" s="136" t="s">
        <v>127</v>
      </c>
      <c r="D44" s="193">
        <f>'1. XL-1E TT'!K11</f>
        <v>0</v>
      </c>
      <c r="E44" s="140">
        <f>'1. XL-1E TT'!O11</f>
        <v>0</v>
      </c>
      <c r="F44" s="140">
        <f>'1. XL-1E TT'!S11</f>
        <v>0</v>
      </c>
      <c r="G44" s="140">
        <f>'1. XL-1E TT(CA2)'!K11</f>
        <v>0</v>
      </c>
      <c r="H44" s="140">
        <f>'1. XL-1E TT(CA2)'!O11</f>
        <v>0</v>
      </c>
      <c r="I44" s="194">
        <f>'1. XL-1E TT(CA2)'!S11</f>
        <v>0</v>
      </c>
    </row>
    <row r="45" spans="1:9" ht="21.75" hidden="1" customHeight="1">
      <c r="A45" s="3376">
        <v>3</v>
      </c>
      <c r="B45" s="3493" t="s">
        <v>142</v>
      </c>
      <c r="C45" s="135" t="s">
        <v>99</v>
      </c>
      <c r="D45" s="193">
        <f>'1. XL-1E TT'!K12</f>
        <v>0</v>
      </c>
      <c r="E45" s="140">
        <f>'1. XL-1E TT'!O12</f>
        <v>0</v>
      </c>
      <c r="F45" s="140">
        <f>'1. XL-1E TT'!S12</f>
        <v>0</v>
      </c>
      <c r="G45" s="140">
        <f>'1. XL-1E TT(CA2)'!K12</f>
        <v>0</v>
      </c>
      <c r="H45" s="140">
        <f>'1. XL-1E TT(CA2)'!O12</f>
        <v>0</v>
      </c>
      <c r="I45" s="194">
        <f>'1. XL-1E TT(CA2)'!S12</f>
        <v>0</v>
      </c>
    </row>
    <row r="46" spans="1:9" ht="21.75" hidden="1" customHeight="1">
      <c r="A46" s="3377"/>
      <c r="B46" s="3488"/>
      <c r="C46" s="136" t="s">
        <v>127</v>
      </c>
      <c r="D46" s="193">
        <f>'1. XL-1E TT'!K13</f>
        <v>0</v>
      </c>
      <c r="E46" s="140">
        <f>'1. XL-1E TT'!O13</f>
        <v>0</v>
      </c>
      <c r="F46" s="140">
        <f>'1. XL-1E TT'!S13</f>
        <v>0</v>
      </c>
      <c r="G46" s="140">
        <f>'1. XL-1E TT(CA2)'!K13</f>
        <v>0</v>
      </c>
      <c r="H46" s="140">
        <f>'1. XL-1E TT(CA2)'!O13</f>
        <v>0</v>
      </c>
      <c r="I46" s="194">
        <f>'1. XL-1E TT(CA2)'!S13</f>
        <v>0</v>
      </c>
    </row>
    <row r="47" spans="1:9" ht="21.75" hidden="1" customHeight="1">
      <c r="A47" s="3376">
        <v>4</v>
      </c>
      <c r="B47" s="3493" t="s">
        <v>143</v>
      </c>
      <c r="C47" s="135" t="s">
        <v>99</v>
      </c>
      <c r="D47" s="193">
        <f>'1. XL-1E TT'!K14</f>
        <v>0</v>
      </c>
      <c r="E47" s="140">
        <f>'1. XL-1E TT'!O14</f>
        <v>0</v>
      </c>
      <c r="F47" s="140">
        <f>'1. XL-1E TT'!S14</f>
        <v>0</v>
      </c>
      <c r="G47" s="140">
        <f>'1. XL-1E TT(CA2)'!K14</f>
        <v>1.167199999999996</v>
      </c>
      <c r="H47" s="140">
        <f>'1. XL-1E TT(CA2)'!O14</f>
        <v>2.9180000000000001</v>
      </c>
      <c r="I47" s="194">
        <f>'1. XL-1E TT(CA2)'!S14</f>
        <v>2.9180000000000001</v>
      </c>
    </row>
    <row r="48" spans="1:9" ht="21.75" hidden="1" customHeight="1">
      <c r="A48" s="3377"/>
      <c r="B48" s="3488"/>
      <c r="C48" s="136" t="s">
        <v>127</v>
      </c>
      <c r="D48" s="193">
        <f>'1. XL-1E TT'!K15</f>
        <v>0</v>
      </c>
      <c r="E48" s="140">
        <f>'1. XL-1E TT'!O15</f>
        <v>0</v>
      </c>
      <c r="F48" s="140">
        <f>'1. XL-1E TT'!S15</f>
        <v>0</v>
      </c>
      <c r="G48" s="140">
        <f>'1. XL-1E TT(CA2)'!K15</f>
        <v>0.35015999999999881</v>
      </c>
      <c r="H48" s="140">
        <f>'1. XL-1E TT(CA2)'!O15</f>
        <v>0.87540000000000007</v>
      </c>
      <c r="I48" s="194">
        <f>'1. XL-1E TT(CA2)'!S15</f>
        <v>0.87540000000000007</v>
      </c>
    </row>
    <row r="49" spans="1:9" ht="21.75" hidden="1" customHeight="1">
      <c r="A49" s="3376">
        <v>5</v>
      </c>
      <c r="B49" s="3216" t="s">
        <v>94</v>
      </c>
      <c r="C49" s="229" t="s">
        <v>93</v>
      </c>
      <c r="D49" s="193">
        <f>'1. XL-1E TT'!K16</f>
        <v>0</v>
      </c>
      <c r="E49" s="140">
        <f>'1. XL-1E TT'!O16</f>
        <v>127.68640000000011</v>
      </c>
      <c r="F49" s="140">
        <f>'1. XL-1E TT'!S16</f>
        <v>0</v>
      </c>
      <c r="G49" s="140">
        <f>'1. XL-1E TT(CA2)'!K16</f>
        <v>0</v>
      </c>
      <c r="H49" s="140">
        <f>'1. XL-1E TT(CA2)'!O16</f>
        <v>0</v>
      </c>
      <c r="I49" s="194">
        <f>'1. XL-1E TT(CA2)'!S16</f>
        <v>0</v>
      </c>
    </row>
    <row r="50" spans="1:9" ht="21.75" hidden="1" customHeight="1">
      <c r="A50" s="3377"/>
      <c r="B50" s="3217"/>
      <c r="C50" s="229" t="s">
        <v>56</v>
      </c>
      <c r="D50" s="193">
        <f>'1. XL-1E TT'!K17</f>
        <v>0</v>
      </c>
      <c r="E50" s="140">
        <f>'1. XL-1E TT'!O17</f>
        <v>0</v>
      </c>
      <c r="F50" s="140">
        <f>'1. XL-1E TT'!S17</f>
        <v>0</v>
      </c>
      <c r="G50" s="140">
        <f>'1. XL-1E TT(CA2)'!K17</f>
        <v>0</v>
      </c>
      <c r="H50" s="140">
        <f>'1. XL-1E TT(CA2)'!O17</f>
        <v>0</v>
      </c>
      <c r="I50" s="194">
        <f>'1. XL-1E TT(CA2)'!S17</f>
        <v>0</v>
      </c>
    </row>
    <row r="51" spans="1:9" ht="21.75" hidden="1" customHeight="1">
      <c r="A51" s="3376">
        <v>6</v>
      </c>
      <c r="B51" s="3489" t="s">
        <v>95</v>
      </c>
      <c r="C51" s="3490"/>
      <c r="D51" s="193">
        <f>'1. XL-1E TT'!K18</f>
        <v>0</v>
      </c>
      <c r="E51" s="140">
        <f>'1. XL-1E TT'!O18</f>
        <v>0</v>
      </c>
      <c r="F51" s="140">
        <f>'1. XL-1E TT'!S18</f>
        <v>0</v>
      </c>
      <c r="G51" s="140">
        <f>'1. XL-1E TT(CA2)'!K18</f>
        <v>0</v>
      </c>
      <c r="H51" s="140">
        <f>'1. XL-1E TT(CA2)'!O18</f>
        <v>0</v>
      </c>
      <c r="I51" s="194">
        <f>'1. XL-1E TT(CA2)'!S18</f>
        <v>0</v>
      </c>
    </row>
    <row r="52" spans="1:9" ht="21.75" hidden="1" customHeight="1">
      <c r="A52" s="3377"/>
      <c r="B52" s="3491"/>
      <c r="C52" s="3392"/>
      <c r="D52" s="193">
        <f>'1. XL-1E TT'!K19</f>
        <v>0</v>
      </c>
      <c r="E52" s="140">
        <f>'1. XL-1E TT'!O19</f>
        <v>0</v>
      </c>
      <c r="F52" s="140">
        <f>'1. XL-1E TT'!S19</f>
        <v>0</v>
      </c>
      <c r="G52" s="140">
        <f>'1. XL-1E TT(CA2)'!K19</f>
        <v>0</v>
      </c>
      <c r="H52" s="140">
        <f>'1. XL-1E TT(CA2)'!O19</f>
        <v>0</v>
      </c>
      <c r="I52" s="194">
        <f>'1. XL-1E TT(CA2)'!S19</f>
        <v>0</v>
      </c>
    </row>
    <row r="53" spans="1:9" ht="21.75" hidden="1" customHeight="1">
      <c r="A53" s="102">
        <v>7</v>
      </c>
      <c r="B53" s="3130" t="s">
        <v>57</v>
      </c>
      <c r="C53" s="3492"/>
      <c r="D53" s="193">
        <f>'1. XL-1E TT'!K20</f>
        <v>0</v>
      </c>
      <c r="E53" s="140">
        <f>'1. XL-1E TT'!O20</f>
        <v>35.145625000000074</v>
      </c>
      <c r="F53" s="140">
        <f>'1. XL-1E TT'!S20</f>
        <v>0</v>
      </c>
      <c r="G53" s="140">
        <f>'1. XL-1E TT(CA2)'!K20</f>
        <v>0</v>
      </c>
      <c r="H53" s="140">
        <f>'1. XL-1E TT(CA2)'!O20</f>
        <v>0</v>
      </c>
      <c r="I53" s="194">
        <f>'1. XL-1E TT(CA2)'!S20</f>
        <v>0</v>
      </c>
    </row>
    <row r="54" spans="1:9" ht="21.75" hidden="1" customHeight="1">
      <c r="A54" s="102">
        <v>8</v>
      </c>
      <c r="B54" s="3130" t="s">
        <v>58</v>
      </c>
      <c r="C54" s="3492"/>
      <c r="D54" s="193">
        <f>'1. XL-1E TT'!K21</f>
        <v>0</v>
      </c>
      <c r="E54" s="140">
        <f>'1. XL-1E TT'!O21</f>
        <v>0</v>
      </c>
      <c r="F54" s="140">
        <f>'1. XL-1E TT'!S21</f>
        <v>0</v>
      </c>
      <c r="G54" s="140">
        <f>'1. XL-1E TT(CA2)'!K21</f>
        <v>0</v>
      </c>
      <c r="H54" s="140">
        <f>'1. XL-1E TT(CA2)'!O21</f>
        <v>0</v>
      </c>
      <c r="I54" s="194">
        <f>'1. XL-1E TT(CA2)'!S21</f>
        <v>0</v>
      </c>
    </row>
    <row r="55" spans="1:9" ht="21.75" hidden="1" customHeight="1">
      <c r="A55" s="102">
        <v>9</v>
      </c>
      <c r="B55" s="3130" t="s">
        <v>59</v>
      </c>
      <c r="C55" s="3492"/>
      <c r="D55" s="193">
        <f>'1. XL-1E TT'!K22</f>
        <v>0</v>
      </c>
      <c r="E55" s="140">
        <f>'1. XL-1E TT'!O22</f>
        <v>0</v>
      </c>
      <c r="F55" s="140">
        <f>'1. XL-1E TT'!S22</f>
        <v>0</v>
      </c>
      <c r="G55" s="140">
        <f>'1. XL-1E TT(CA2)'!K22</f>
        <v>0</v>
      </c>
      <c r="H55" s="140">
        <f>'1. XL-1E TT(CA2)'!O22</f>
        <v>0</v>
      </c>
      <c r="I55" s="194">
        <f>'1. XL-1E TT(CA2)'!S22</f>
        <v>0</v>
      </c>
    </row>
    <row r="56" spans="1:9" ht="21.75" hidden="1" customHeight="1">
      <c r="A56" s="102">
        <v>10</v>
      </c>
      <c r="B56" s="3130" t="s">
        <v>96</v>
      </c>
      <c r="C56" s="3492"/>
      <c r="D56" s="193">
        <f>'1. XL-1E TT'!K23</f>
        <v>0</v>
      </c>
      <c r="E56" s="140">
        <f>'1. XL-1E TT'!O23</f>
        <v>0</v>
      </c>
      <c r="F56" s="140">
        <f>'1. XL-1E TT'!S23</f>
        <v>0</v>
      </c>
      <c r="G56" s="140">
        <f>'1. XL-1E TT(CA2)'!K23</f>
        <v>0</v>
      </c>
      <c r="H56" s="140">
        <f>'1. XL-1E TT(CA2)'!O23</f>
        <v>0</v>
      </c>
      <c r="I56" s="194">
        <f>'1. XL-1E TT(CA2)'!S23</f>
        <v>0</v>
      </c>
    </row>
    <row r="57" spans="1:9" ht="21.75" hidden="1" customHeight="1">
      <c r="D57" s="185"/>
      <c r="E57" s="133"/>
      <c r="F57" s="133"/>
      <c r="G57" s="133"/>
      <c r="H57" s="133"/>
      <c r="I57" s="186"/>
    </row>
    <row r="58" spans="1:9" ht="21.75" hidden="1" customHeight="1">
      <c r="A58" s="173"/>
      <c r="B58" s="158" t="s">
        <v>213</v>
      </c>
      <c r="C58" s="169"/>
      <c r="D58" s="197"/>
      <c r="E58" s="170"/>
      <c r="F58" s="133"/>
      <c r="G58" s="133"/>
      <c r="H58" s="133"/>
      <c r="I58" s="186"/>
    </row>
    <row r="59" spans="1:9" ht="21.75" hidden="1" customHeight="1">
      <c r="A59" s="163" t="s">
        <v>7</v>
      </c>
      <c r="B59" s="151"/>
      <c r="C59" s="151"/>
      <c r="D59" s="187" t="s">
        <v>154</v>
      </c>
      <c r="E59" s="142"/>
      <c r="F59" s="142"/>
      <c r="G59" s="142"/>
      <c r="H59" s="142"/>
      <c r="I59" s="188"/>
    </row>
    <row r="60" spans="1:9" ht="21.75" hidden="1" customHeight="1">
      <c r="A60" s="164"/>
      <c r="B60" s="160"/>
      <c r="C60" s="160"/>
      <c r="D60" s="191">
        <v>0.25</v>
      </c>
      <c r="E60" s="137">
        <v>0.41666666666666669</v>
      </c>
      <c r="F60" s="137">
        <v>0.58333333333333337</v>
      </c>
      <c r="G60" s="137">
        <v>0.75</v>
      </c>
      <c r="H60" s="137">
        <v>0.91666666666666663</v>
      </c>
      <c r="I60" s="192">
        <v>8.3333333333333329E-2</v>
      </c>
    </row>
    <row r="61" spans="1:9" ht="21.75" hidden="1" customHeight="1">
      <c r="A61" s="241">
        <v>1</v>
      </c>
      <c r="B61" s="228" t="s">
        <v>130</v>
      </c>
      <c r="C61" s="242" t="s">
        <v>99</v>
      </c>
      <c r="D61" s="183">
        <f>'2. XL-1F TT '!I6</f>
        <v>71.39</v>
      </c>
      <c r="E61" s="134">
        <f>'2. XL-1F TT '!M6</f>
        <v>72.688000000000002</v>
      </c>
      <c r="F61" s="134">
        <f>'2. XL-1F TT '!Q6</f>
        <v>72.363500000000002</v>
      </c>
      <c r="G61" s="134">
        <f>'2. XL-1F TT(CA2)'!I6</f>
        <v>65.549000000000007</v>
      </c>
      <c r="H61" s="134">
        <f>'2. XL-1F TT(CA2)'!M6</f>
        <v>66.197999999999993</v>
      </c>
      <c r="I61" s="184">
        <f>'2. XL-1F TT(CA2)'!Q6</f>
        <v>67.496000000000009</v>
      </c>
    </row>
    <row r="62" spans="1:9" ht="21.75" hidden="1" customHeight="1">
      <c r="A62" s="213"/>
      <c r="B62" s="218"/>
      <c r="C62" s="227" t="s">
        <v>100</v>
      </c>
      <c r="D62" s="183">
        <f>'2. XL-1F TT '!I7</f>
        <v>0</v>
      </c>
      <c r="E62" s="134">
        <f>'2. XL-1F TT '!M7</f>
        <v>0</v>
      </c>
      <c r="F62" s="134">
        <f>'2. XL-1F TT '!Q7</f>
        <v>0</v>
      </c>
      <c r="G62" s="134">
        <f>'2. XL-1F TT(CA2)'!I7</f>
        <v>0</v>
      </c>
      <c r="H62" s="134">
        <f>'2. XL-1F TT(CA2)'!M7</f>
        <v>0</v>
      </c>
      <c r="I62" s="184">
        <f>'2. XL-1F TT(CA2)'!Q7</f>
        <v>0</v>
      </c>
    </row>
    <row r="63" spans="1:9" ht="21.75" hidden="1" customHeight="1">
      <c r="A63" s="212">
        <v>2</v>
      </c>
      <c r="B63" s="217" t="s">
        <v>131</v>
      </c>
      <c r="C63" s="219" t="s">
        <v>99</v>
      </c>
      <c r="D63" s="183">
        <f>'2. XL-1F TT '!I8</f>
        <v>72.039000000000001</v>
      </c>
      <c r="E63" s="134">
        <f>'2. XL-1F TT '!M8</f>
        <v>74.959500000000006</v>
      </c>
      <c r="F63" s="134">
        <f>'2. XL-1F TT '!Q8</f>
        <v>74.635000000000005</v>
      </c>
      <c r="G63" s="134">
        <f>'2. XL-1F TT(CA2)'!I8</f>
        <v>73.986000000000004</v>
      </c>
      <c r="H63" s="134">
        <f>'2. XL-1F TT(CA2)'!M8</f>
        <v>74.635000000000005</v>
      </c>
      <c r="I63" s="184">
        <f>'2. XL-1F TT(CA2)'!Q8</f>
        <v>74.635000000000005</v>
      </c>
    </row>
    <row r="64" spans="1:9" ht="21.75" hidden="1" customHeight="1">
      <c r="A64" s="213"/>
      <c r="B64" s="218"/>
      <c r="C64" s="220" t="s">
        <v>100</v>
      </c>
      <c r="D64" s="183">
        <f>'2. XL-1F TT '!I9</f>
        <v>0</v>
      </c>
      <c r="E64" s="134">
        <f>'2. XL-1F TT '!M9</f>
        <v>0</v>
      </c>
      <c r="F64" s="134">
        <f>'2. XL-1F TT '!Q9</f>
        <v>0</v>
      </c>
      <c r="G64" s="134">
        <f>'2. XL-1F TT(CA2)'!I9</f>
        <v>0</v>
      </c>
      <c r="H64" s="134">
        <f>'2. XL-1F TT(CA2)'!M9</f>
        <v>0</v>
      </c>
      <c r="I64" s="184">
        <f>'2. XL-1F TT(CA2)'!Q9</f>
        <v>0</v>
      </c>
    </row>
    <row r="65" spans="1:9" ht="21.75" hidden="1" customHeight="1">
      <c r="A65" s="212">
        <v>3</v>
      </c>
      <c r="B65" s="222" t="s">
        <v>132</v>
      </c>
      <c r="C65" s="219" t="s">
        <v>99</v>
      </c>
      <c r="D65" s="183">
        <f>'2. XL-1F TT '!I10</f>
        <v>55.208999999999996</v>
      </c>
      <c r="E65" s="134">
        <f>'2. XL-1F TT '!M10</f>
        <v>60.06</v>
      </c>
      <c r="F65" s="134">
        <f>'2. XL-1F TT '!Q10</f>
        <v>61.446000000000005</v>
      </c>
      <c r="G65" s="134">
        <f>'2. XL-1F TT(CA2)'!I10</f>
        <v>62.370000000000005</v>
      </c>
      <c r="H65" s="134">
        <f>'2. XL-1F TT(CA2)'!M10</f>
        <v>60.983999999999995</v>
      </c>
      <c r="I65" s="184">
        <f>'2. XL-1F TT(CA2)'!Q10</f>
        <v>59.598000000000006</v>
      </c>
    </row>
    <row r="66" spans="1:9" ht="21.75" hidden="1" customHeight="1">
      <c r="A66" s="214"/>
      <c r="B66" s="223"/>
      <c r="C66" s="220" t="s">
        <v>103</v>
      </c>
      <c r="D66" s="183">
        <f>'2. XL-1F TT '!I11</f>
        <v>0</v>
      </c>
      <c r="E66" s="134">
        <f>'2. XL-1F TT '!M11</f>
        <v>0</v>
      </c>
      <c r="F66" s="134">
        <f>'2. XL-1F TT '!Q11</f>
        <v>0</v>
      </c>
      <c r="G66" s="134">
        <f>'2. XL-1F TT(CA2)'!I11</f>
        <v>0</v>
      </c>
      <c r="H66" s="134">
        <f>'2. XL-1F TT(CA2)'!M11</f>
        <v>0</v>
      </c>
      <c r="I66" s="184">
        <f>'2. XL-1F TT(CA2)'!Q11</f>
        <v>0</v>
      </c>
    </row>
    <row r="67" spans="1:9" ht="21.75" hidden="1" customHeight="1">
      <c r="A67" s="212">
        <v>4</v>
      </c>
      <c r="B67" s="222" t="s">
        <v>133</v>
      </c>
      <c r="C67" s="219" t="s">
        <v>99</v>
      </c>
      <c r="D67" s="183">
        <f>'2. XL-1F TT '!I12</f>
        <v>58.673999999999999</v>
      </c>
      <c r="E67" s="134">
        <f>'2. XL-1F TT '!M12</f>
        <v>62.601000000000006</v>
      </c>
      <c r="F67" s="134">
        <f>'2. XL-1F TT '!Q12</f>
        <v>61.446000000000005</v>
      </c>
      <c r="G67" s="134">
        <f>'2. XL-1F TT(CA2)'!I12</f>
        <v>57.75</v>
      </c>
      <c r="H67" s="134">
        <f>'2. XL-1F TT(CA2)'!M12</f>
        <v>65.603999999999999</v>
      </c>
      <c r="I67" s="184">
        <f>'2. XL-1F TT(CA2)'!Q12</f>
        <v>67.914000000000001</v>
      </c>
    </row>
    <row r="68" spans="1:9" ht="21.75" hidden="1" customHeight="1">
      <c r="A68" s="214"/>
      <c r="B68" s="223"/>
      <c r="C68" s="220" t="s">
        <v>103</v>
      </c>
      <c r="D68" s="183">
        <f>'2. XL-1F TT '!I13</f>
        <v>0</v>
      </c>
      <c r="E68" s="134">
        <f>'2. XL-1F TT '!M13</f>
        <v>0</v>
      </c>
      <c r="F68" s="134">
        <f>'2. XL-1F TT '!Q13</f>
        <v>0</v>
      </c>
      <c r="G68" s="134">
        <f>'2. XL-1F TT(CA2)'!I13</f>
        <v>0</v>
      </c>
      <c r="H68" s="134">
        <f>'2. XL-1F TT(CA2)'!M13</f>
        <v>0</v>
      </c>
      <c r="I68" s="184">
        <f>'2. XL-1F TT(CA2)'!Q13</f>
        <v>0</v>
      </c>
    </row>
    <row r="69" spans="1:9" ht="21.75" hidden="1" customHeight="1">
      <c r="A69" s="215">
        <v>5</v>
      </c>
      <c r="B69" s="220" t="s">
        <v>78</v>
      </c>
      <c r="C69" s="221"/>
      <c r="D69" s="183">
        <f>'2. XL-1F TT '!I14</f>
        <v>144.80000000000001</v>
      </c>
      <c r="E69" s="134">
        <f>'2. XL-1F TT '!M14</f>
        <v>144.80000000000001</v>
      </c>
      <c r="F69" s="134">
        <f>'2. XL-1F TT '!Q14</f>
        <v>143.19999999999999</v>
      </c>
      <c r="G69" s="134">
        <f>'2. XL-1F TT(CA2)'!I14</f>
        <v>143.19999999999999</v>
      </c>
      <c r="H69" s="134">
        <f>'2. XL-1F TT(CA2)'!M14</f>
        <v>144</v>
      </c>
      <c r="I69" s="184">
        <f>'2. XL-1F TT(CA2)'!Q14</f>
        <v>144</v>
      </c>
    </row>
    <row r="70" spans="1:9" ht="21.75" hidden="1" customHeight="1">
      <c r="A70" s="215">
        <v>6</v>
      </c>
      <c r="B70" s="220" t="s">
        <v>56</v>
      </c>
      <c r="C70" s="221"/>
      <c r="D70" s="183">
        <f>'2. XL-1F TT '!I15</f>
        <v>10.01</v>
      </c>
      <c r="E70" s="134">
        <f>'2. XL-1F TT '!M15</f>
        <v>9.75</v>
      </c>
      <c r="F70" s="134">
        <f>'2. XL-1F TT '!Q15</f>
        <v>9.75</v>
      </c>
      <c r="G70" s="134">
        <f>'2. XL-1F TT(CA2)'!I15</f>
        <v>9.879999999999999</v>
      </c>
      <c r="H70" s="134">
        <f>'2. XL-1F TT(CA2)'!M15</f>
        <v>9.879999999999999</v>
      </c>
      <c r="I70" s="184">
        <f>'2. XL-1F TT(CA2)'!Q15</f>
        <v>10.01</v>
      </c>
    </row>
    <row r="71" spans="1:9" ht="21.75" hidden="1" customHeight="1">
      <c r="A71" s="224">
        <v>7</v>
      </c>
      <c r="B71" s="217" t="s">
        <v>105</v>
      </c>
      <c r="C71" s="226"/>
      <c r="D71" s="183">
        <f>'2. XL-1F TT '!I16</f>
        <v>7.2160500000000001</v>
      </c>
      <c r="E71" s="134">
        <f>'2. XL-1F TT '!M16</f>
        <v>7.13131</v>
      </c>
      <c r="F71" s="134">
        <f>'2. XL-1F TT '!Q16</f>
        <v>7.2160500000000001</v>
      </c>
      <c r="G71" s="134">
        <f>'2. XL-1F TT(CA2)'!I16</f>
        <v>7.1736800000000001</v>
      </c>
      <c r="H71" s="134">
        <f>'2. XL-1F TT(CA2)'!M16</f>
        <v>7.0042</v>
      </c>
      <c r="I71" s="184">
        <f>'2. XL-1F TT(CA2)'!Q16</f>
        <v>6.4957600000000006</v>
      </c>
    </row>
    <row r="72" spans="1:9" ht="21.75" hidden="1" customHeight="1">
      <c r="A72" s="225"/>
      <c r="B72" s="227"/>
      <c r="C72" s="228"/>
      <c r="D72" s="183">
        <f>'2. XL-1F TT '!I17</f>
        <v>2.23</v>
      </c>
      <c r="E72" s="134">
        <f>'2. XL-1F TT '!M17</f>
        <v>2.2400000000000002</v>
      </c>
      <c r="F72" s="134">
        <f>'2. XL-1F TT '!Q17</f>
        <v>2.35</v>
      </c>
      <c r="G72" s="134">
        <f>'2. XL-1F TT(CA2)'!I17</f>
        <v>2.4</v>
      </c>
      <c r="H72" s="134">
        <f>'2. XL-1F TT(CA2)'!M17</f>
        <v>2.35</v>
      </c>
      <c r="I72" s="184">
        <f>'2. XL-1F TT(CA2)'!Q17</f>
        <v>2.4</v>
      </c>
    </row>
    <row r="73" spans="1:9" ht="21.75" hidden="1" customHeight="1">
      <c r="A73" s="215">
        <v>8</v>
      </c>
      <c r="B73" s="220" t="s">
        <v>57</v>
      </c>
      <c r="C73" s="221"/>
      <c r="D73" s="183">
        <f>'2. XL-1F TT '!I18</f>
        <v>0.46765624999999994</v>
      </c>
      <c r="E73" s="134">
        <f>'2. XL-1F TT '!M18</f>
        <v>0.47906250000000006</v>
      </c>
      <c r="F73" s="134">
        <f>'2. XL-1F TT '!Q18</f>
        <v>0.45624999999999999</v>
      </c>
      <c r="G73" s="134">
        <f>'2. XL-1F TT(CA2)'!I18</f>
        <v>0.45624999999999999</v>
      </c>
      <c r="H73" s="134">
        <f>'2. XL-1F TT(CA2)'!M18</f>
        <v>0.44484374999999998</v>
      </c>
      <c r="I73" s="184">
        <f>'2. XL-1F TT(CA2)'!Q18</f>
        <v>0.46765624999999994</v>
      </c>
    </row>
    <row r="74" spans="1:9" ht="21.75" hidden="1" customHeight="1">
      <c r="A74" s="215">
        <v>9</v>
      </c>
      <c r="B74" s="220" t="s">
        <v>58</v>
      </c>
      <c r="C74" s="221"/>
      <c r="D74" s="183">
        <f>'2. XL-1F TT '!I19</f>
        <v>0</v>
      </c>
      <c r="E74" s="134">
        <f>'2. XL-1F TT '!M19</f>
        <v>0</v>
      </c>
      <c r="F74" s="134">
        <f>'2. XL-1F TT '!Q19</f>
        <v>0</v>
      </c>
      <c r="G74" s="134">
        <f>'2. XL-1F TT(CA2)'!I19</f>
        <v>0</v>
      </c>
      <c r="H74" s="134">
        <f>'2. XL-1F TT(CA2)'!M19</f>
        <v>0</v>
      </c>
      <c r="I74" s="184">
        <f>'2. XL-1F TT(CA2)'!Q19</f>
        <v>0</v>
      </c>
    </row>
    <row r="75" spans="1:9" ht="21.75" hidden="1" customHeight="1">
      <c r="A75" s="215">
        <v>11</v>
      </c>
      <c r="B75" s="220" t="s">
        <v>107</v>
      </c>
      <c r="C75" s="221"/>
      <c r="D75" s="183">
        <f>'2. XL-1F TT '!I20</f>
        <v>7.9843750000000005E-2</v>
      </c>
      <c r="E75" s="134">
        <f>'2. XL-1F TT '!M20</f>
        <v>8.2125000000000004E-2</v>
      </c>
      <c r="F75" s="134">
        <f>'2. XL-1F TT '!Q20</f>
        <v>8.7828125000000007E-2</v>
      </c>
      <c r="G75" s="134">
        <f>'2. XL-1F TT(CA2)'!I20</f>
        <v>6.8437499999999998E-2</v>
      </c>
      <c r="H75" s="134">
        <f>'2. XL-1F TT(CA2)'!M20</f>
        <v>0.1140625</v>
      </c>
      <c r="I75" s="184">
        <f>'2. XL-1F TT(CA2)'!Q20</f>
        <v>0.10265625</v>
      </c>
    </row>
    <row r="76" spans="1:9" ht="21.75" hidden="1" customHeight="1">
      <c r="A76" s="215">
        <v>12</v>
      </c>
      <c r="B76" s="220" t="s">
        <v>106</v>
      </c>
      <c r="C76" s="221"/>
      <c r="D76" s="183">
        <f>'2. XL-1F TT '!I21</f>
        <v>1.1088000000000001E-2</v>
      </c>
      <c r="E76" s="134">
        <f>'2. XL-1F TT '!M21</f>
        <v>1.3229999999999999E-2</v>
      </c>
      <c r="F76" s="134">
        <f>'2. XL-1F TT '!Q21</f>
        <v>1.1088000000000001E-2</v>
      </c>
      <c r="G76" s="134">
        <f>'2. XL-1F TT(CA2)'!I21</f>
        <v>1.0709999999999999E-2</v>
      </c>
      <c r="H76" s="134">
        <f>'2. XL-1F TT(CA2)'!M21</f>
        <v>1.26E-2</v>
      </c>
      <c r="I76" s="184">
        <f>'2. XL-1F TT(CA2)'!Q21</f>
        <v>1.008E-2</v>
      </c>
    </row>
    <row r="77" spans="1:9" ht="21.75" hidden="1" customHeight="1">
      <c r="A77" s="146"/>
      <c r="B77" s="147" t="s">
        <v>108</v>
      </c>
      <c r="C77" s="154"/>
      <c r="D77" s="187" t="s">
        <v>156</v>
      </c>
      <c r="E77" s="142"/>
      <c r="F77" s="142"/>
      <c r="G77" s="142"/>
      <c r="H77" s="142"/>
      <c r="I77" s="188"/>
    </row>
    <row r="78" spans="1:9" ht="21.75" hidden="1" customHeight="1">
      <c r="A78" s="148" t="s">
        <v>7</v>
      </c>
      <c r="B78" s="149" t="s">
        <v>60</v>
      </c>
      <c r="C78" s="150"/>
      <c r="D78" s="189">
        <v>0.25</v>
      </c>
      <c r="E78" s="145">
        <v>0.41666666666666669</v>
      </c>
      <c r="F78" s="145">
        <v>0.58333333333333337</v>
      </c>
      <c r="G78" s="145">
        <v>0.75</v>
      </c>
      <c r="H78" s="145">
        <v>0.91666666666666663</v>
      </c>
      <c r="I78" s="190">
        <v>8.3333333333333329E-2</v>
      </c>
    </row>
    <row r="79" spans="1:9" ht="21.75" hidden="1" customHeight="1">
      <c r="A79" s="216">
        <v>1</v>
      </c>
      <c r="B79" s="232" t="s">
        <v>64</v>
      </c>
      <c r="C79" s="233"/>
      <c r="D79" s="185">
        <f>'2. XL-1F TT '!I26</f>
        <v>43</v>
      </c>
      <c r="E79" s="133">
        <f>'2. XL-1F TT '!M26</f>
        <v>42</v>
      </c>
      <c r="F79" s="133">
        <f>'2. XL-1F TT '!Q26</f>
        <v>55</v>
      </c>
      <c r="G79" s="133">
        <f>'2. XL-1F TT(CA2)'!I26</f>
        <v>55</v>
      </c>
      <c r="H79" s="133">
        <f>'2. XL-1F TT(CA2)'!M26</f>
        <v>55</v>
      </c>
      <c r="I79" s="186">
        <f>'2. XL-1F TT(CA2)'!Q26</f>
        <v>55</v>
      </c>
    </row>
    <row r="80" spans="1:9" ht="21.75" hidden="1" customHeight="1">
      <c r="A80" s="216">
        <v>2</v>
      </c>
      <c r="B80" s="232" t="s">
        <v>65</v>
      </c>
      <c r="C80" s="233" t="s">
        <v>65</v>
      </c>
      <c r="D80" s="185">
        <f>'2. XL-1F TT '!I27</f>
        <v>58</v>
      </c>
      <c r="E80" s="133">
        <f>'2. XL-1F TT '!M27</f>
        <v>57</v>
      </c>
      <c r="F80" s="133">
        <f>'2. XL-1F TT '!Q27</f>
        <v>58</v>
      </c>
      <c r="G80" s="133">
        <f>'2. XL-1F TT(CA2)'!I27</f>
        <v>59</v>
      </c>
      <c r="H80" s="133">
        <f>'2. XL-1F TT(CA2)'!M27</f>
        <v>59</v>
      </c>
      <c r="I80" s="186">
        <f>'2. XL-1F TT(CA2)'!Q27</f>
        <v>58</v>
      </c>
    </row>
    <row r="81" spans="1:9" ht="21.75" hidden="1" customHeight="1">
      <c r="A81" s="216">
        <v>3</v>
      </c>
      <c r="B81" s="232" t="s">
        <v>67</v>
      </c>
      <c r="C81" s="233" t="s">
        <v>67</v>
      </c>
      <c r="D81" s="185">
        <f>'2. XL-1F TT '!I28</f>
        <v>52</v>
      </c>
      <c r="E81" s="133">
        <f>'2. XL-1F TT '!M28</f>
        <v>52</v>
      </c>
      <c r="F81" s="133">
        <f>'2. XL-1F TT '!Q28</f>
        <v>52</v>
      </c>
      <c r="G81" s="133">
        <f>'2. XL-1F TT(CA2)'!I28</f>
        <v>53</v>
      </c>
      <c r="H81" s="133">
        <f>'2. XL-1F TT(CA2)'!M28</f>
        <v>52</v>
      </c>
      <c r="I81" s="186">
        <f>'2. XL-1F TT(CA2)'!Q28</f>
        <v>53</v>
      </c>
    </row>
    <row r="82" spans="1:9" ht="21.75" hidden="1" customHeight="1">
      <c r="A82" s="216">
        <v>4</v>
      </c>
      <c r="B82" s="232" t="s">
        <v>66</v>
      </c>
      <c r="C82" s="233" t="s">
        <v>66</v>
      </c>
      <c r="D82" s="185">
        <f>'2. XL-1F TT '!I29</f>
        <v>50</v>
      </c>
      <c r="E82" s="133">
        <f>'2. XL-1F TT '!M29</f>
        <v>48</v>
      </c>
      <c r="F82" s="133">
        <f>'2. XL-1F TT '!Q29</f>
        <v>48</v>
      </c>
      <c r="G82" s="133">
        <f>'2. XL-1F TT(CA2)'!I29</f>
        <v>49</v>
      </c>
      <c r="H82" s="133">
        <f>'2. XL-1F TT(CA2)'!M29</f>
        <v>51</v>
      </c>
      <c r="I82" s="186">
        <f>'2. XL-1F TT(CA2)'!Q29</f>
        <v>49</v>
      </c>
    </row>
    <row r="83" spans="1:9" ht="21.75" hidden="1" customHeight="1">
      <c r="A83" s="216">
        <v>5</v>
      </c>
      <c r="B83" s="232" t="s">
        <v>68</v>
      </c>
      <c r="C83" s="233" t="s">
        <v>68</v>
      </c>
      <c r="D83" s="185">
        <f>'2. XL-1F TT '!I30</f>
        <v>28</v>
      </c>
      <c r="E83" s="133">
        <f>'2. XL-1F TT '!M30</f>
        <v>29</v>
      </c>
      <c r="F83" s="133">
        <f>'2. XL-1F TT '!Q30</f>
        <v>30</v>
      </c>
      <c r="G83" s="133">
        <f>'2. XL-1F TT(CA2)'!I30</f>
        <v>30</v>
      </c>
      <c r="H83" s="133">
        <f>'2. XL-1F TT(CA2)'!M30</f>
        <v>30</v>
      </c>
      <c r="I83" s="186">
        <f>'2. XL-1F TT(CA2)'!Q30</f>
        <v>29</v>
      </c>
    </row>
    <row r="84" spans="1:9" ht="21.75" hidden="1" customHeight="1">
      <c r="A84" s="216">
        <v>6</v>
      </c>
      <c r="B84" s="232" t="s">
        <v>86</v>
      </c>
      <c r="C84" s="233" t="s">
        <v>86</v>
      </c>
      <c r="D84" s="185">
        <f>'2. XL-1F TT '!I31</f>
        <v>39</v>
      </c>
      <c r="E84" s="133">
        <f>'2. XL-1F TT '!M31</f>
        <v>38</v>
      </c>
      <c r="F84" s="133">
        <f>'2. XL-1F TT '!Q31</f>
        <v>38</v>
      </c>
      <c r="G84" s="133">
        <f>'2. XL-1F TT(CA2)'!I31</f>
        <v>38</v>
      </c>
      <c r="H84" s="133">
        <f>'2. XL-1F TT(CA2)'!M31</f>
        <v>37</v>
      </c>
      <c r="I84" s="186">
        <f>'2. XL-1F TT(CA2)'!Q31</f>
        <v>37</v>
      </c>
    </row>
    <row r="85" spans="1:9" ht="21.75" hidden="1" customHeight="1">
      <c r="A85" s="216">
        <v>7</v>
      </c>
      <c r="B85" s="232" t="s">
        <v>69</v>
      </c>
      <c r="C85" s="233" t="s">
        <v>69</v>
      </c>
      <c r="D85" s="185">
        <f>'2. XL-1F TT '!I32</f>
        <v>53</v>
      </c>
      <c r="E85" s="133">
        <f>'2. XL-1F TT '!M32</f>
        <v>52</v>
      </c>
      <c r="F85" s="133">
        <f>'2. XL-1F TT '!Q32</f>
        <v>52</v>
      </c>
      <c r="G85" s="133">
        <f>'2. XL-1F TT(CA2)'!I32</f>
        <v>55</v>
      </c>
      <c r="H85" s="133">
        <f>'2. XL-1F TT(CA2)'!M32</f>
        <v>55</v>
      </c>
      <c r="I85" s="186">
        <f>'2. XL-1F TT(CA2)'!Q32</f>
        <v>54</v>
      </c>
    </row>
    <row r="86" spans="1:9" ht="21.75" hidden="1" customHeight="1">
      <c r="A86" s="216">
        <v>8</v>
      </c>
      <c r="B86" s="230" t="s">
        <v>70</v>
      </c>
      <c r="C86" s="231" t="s">
        <v>70</v>
      </c>
      <c r="D86" s="185">
        <f>'2. XL-1F TT '!K33</f>
        <v>90</v>
      </c>
      <c r="E86" s="133">
        <f>'2. XL-1F TT '!O33</f>
        <v>92</v>
      </c>
      <c r="F86" s="133">
        <f>'2. XL-1F TT '!S33</f>
        <v>83</v>
      </c>
      <c r="G86" s="133">
        <f>'2. XL-1F TT(CA2)'!K33</f>
        <v>90</v>
      </c>
      <c r="H86" s="133">
        <f>'2. XL-1F TT(CA2)'!O33</f>
        <v>86</v>
      </c>
      <c r="I86" s="186">
        <f>'2. XL-1F TT(CA2)'!S33</f>
        <v>89</v>
      </c>
    </row>
    <row r="87" spans="1:9" ht="21.75" hidden="1" customHeight="1">
      <c r="A87" s="146"/>
      <c r="B87" s="147" t="s">
        <v>109</v>
      </c>
      <c r="C87" s="154"/>
      <c r="D87" s="187" t="s">
        <v>157</v>
      </c>
      <c r="E87" s="142"/>
      <c r="F87" s="142"/>
      <c r="G87" s="142"/>
      <c r="H87" s="142"/>
      <c r="I87" s="188"/>
    </row>
    <row r="88" spans="1:9" ht="21.75" hidden="1" customHeight="1">
      <c r="A88" s="148" t="s">
        <v>7</v>
      </c>
      <c r="B88" s="149" t="s">
        <v>91</v>
      </c>
      <c r="C88" s="150"/>
      <c r="D88" s="189">
        <v>0.25</v>
      </c>
      <c r="E88" s="145">
        <v>0.41666666666666669</v>
      </c>
      <c r="F88" s="145">
        <v>0.58333333333333337</v>
      </c>
      <c r="G88" s="145">
        <v>0.75</v>
      </c>
      <c r="H88" s="145">
        <v>0.91666666666666663</v>
      </c>
      <c r="I88" s="190">
        <v>8.3333333333333329E-2</v>
      </c>
    </row>
    <row r="89" spans="1:9" ht="21.75" hidden="1" customHeight="1">
      <c r="A89" s="215">
        <v>1</v>
      </c>
      <c r="B89" s="220" t="s">
        <v>50</v>
      </c>
      <c r="C89" s="221"/>
      <c r="D89" s="185">
        <f>'2. XL-1F TT '!I36</f>
        <v>175</v>
      </c>
      <c r="E89" s="133">
        <f>'2. XL-1F TT '!M36</f>
        <v>178</v>
      </c>
      <c r="F89" s="133">
        <f>'2. XL-1F TT '!Q36</f>
        <v>160</v>
      </c>
      <c r="G89" s="1511">
        <f>'2. XL-1F TT(CA2)'!I36</f>
        <v>160</v>
      </c>
      <c r="H89" s="1511">
        <f>'2. XL-1F TT(CA2)'!M36</f>
        <v>165</v>
      </c>
      <c r="I89" s="1512">
        <f>'2. XL-1F TT(CA2)'!Q36</f>
        <v>165</v>
      </c>
    </row>
    <row r="90" spans="1:9" ht="21.75" hidden="1" customHeight="1">
      <c r="A90" s="215">
        <v>2</v>
      </c>
      <c r="B90" s="220" t="s">
        <v>85</v>
      </c>
      <c r="C90" s="221"/>
      <c r="D90" s="185">
        <f>'2. XL-1F TT '!I37</f>
        <v>30</v>
      </c>
      <c r="E90" s="133">
        <f>'2. XL-1F TT '!M37</f>
        <v>32</v>
      </c>
      <c r="F90" s="133">
        <f>'2. XL-1F TT '!Q37</f>
        <v>24</v>
      </c>
      <c r="G90" s="1511">
        <f>'2. XL-1F TT(CA2)'!I37</f>
        <v>24</v>
      </c>
      <c r="H90" s="1511">
        <f>'2. XL-1F TT(CA2)'!M37</f>
        <v>27</v>
      </c>
      <c r="I90" s="1512">
        <f>'2. XL-1F TT(CA2)'!Q37</f>
        <v>29</v>
      </c>
    </row>
    <row r="91" spans="1:9" ht="21.75" hidden="1" customHeight="1">
      <c r="A91" s="139"/>
      <c r="B91" s="139"/>
      <c r="C91" s="139"/>
      <c r="D91" s="187" t="s">
        <v>155</v>
      </c>
      <c r="E91" s="142"/>
      <c r="F91" s="142"/>
      <c r="G91" s="142"/>
      <c r="H91" s="142"/>
      <c r="I91" s="188"/>
    </row>
    <row r="92" spans="1:9" ht="21.75" hidden="1" customHeight="1">
      <c r="A92" s="139"/>
      <c r="B92" s="139"/>
      <c r="C92" s="139"/>
      <c r="D92" s="191">
        <v>0.25</v>
      </c>
      <c r="E92" s="137">
        <v>0.41666666666666669</v>
      </c>
      <c r="F92" s="137">
        <v>0.58333333333333337</v>
      </c>
      <c r="G92" s="137">
        <v>0.75</v>
      </c>
      <c r="H92" s="137">
        <v>0.91666666666666663</v>
      </c>
      <c r="I92" s="192">
        <v>8.3333333333333329E-2</v>
      </c>
    </row>
    <row r="93" spans="1:9" ht="21.75" hidden="1" customHeight="1">
      <c r="A93" s="212">
        <v>1</v>
      </c>
      <c r="B93" s="217" t="s">
        <v>130</v>
      </c>
      <c r="C93" s="219" t="s">
        <v>99</v>
      </c>
      <c r="D93" s="193">
        <f>'2. XL-1F TT '!K6</f>
        <v>0</v>
      </c>
      <c r="E93" s="140">
        <f>'2. XL-1F TT '!O6</f>
        <v>0</v>
      </c>
      <c r="F93" s="140">
        <f>'2. XL-1F TT '!S6</f>
        <v>0</v>
      </c>
      <c r="G93" s="140">
        <f>'2. XL-1F TT(CA2)'!K6</f>
        <v>11.986542999999982</v>
      </c>
      <c r="H93" s="140">
        <f>'2. XL-1F TT(CA2)'!O6</f>
        <v>10.238786000000019</v>
      </c>
      <c r="I93" s="194">
        <f>'2. XL-1F TT(CA2)'!S6</f>
        <v>6.7432719999999744</v>
      </c>
    </row>
    <row r="94" spans="1:9" ht="21.75" hidden="1" customHeight="1">
      <c r="A94" s="213"/>
      <c r="B94" s="218"/>
      <c r="C94" s="220" t="s">
        <v>100</v>
      </c>
      <c r="D94" s="193">
        <f>'2. XL-1F TT '!K7</f>
        <v>0</v>
      </c>
      <c r="E94" s="140">
        <f>'2. XL-1F TT '!O7</f>
        <v>0</v>
      </c>
      <c r="F94" s="140">
        <f>'2. XL-1F TT '!S7</f>
        <v>0</v>
      </c>
      <c r="G94" s="140">
        <f>'2. XL-1F TT(CA2)'!K7</f>
        <v>3.5959628999999946</v>
      </c>
      <c r="H94" s="140">
        <f>'2. XL-1F TT(CA2)'!O7</f>
        <v>3.0716358000000059</v>
      </c>
      <c r="I94" s="194">
        <f>'2. XL-1F TT(CA2)'!S7</f>
        <v>2.0229815999999921</v>
      </c>
    </row>
    <row r="95" spans="1:9" ht="21.75" hidden="1" customHeight="1">
      <c r="A95" s="212">
        <v>2</v>
      </c>
      <c r="B95" s="217" t="s">
        <v>131</v>
      </c>
      <c r="C95" s="219" t="s">
        <v>99</v>
      </c>
      <c r="D95" s="193">
        <f>'2. XL-1F TT '!K8</f>
        <v>0</v>
      </c>
      <c r="E95" s="140">
        <f>'2. XL-1F TT '!O8</f>
        <v>0</v>
      </c>
      <c r="F95" s="140">
        <f>'2. XL-1F TT '!S8</f>
        <v>0</v>
      </c>
      <c r="G95" s="140">
        <f>'2. XL-1F TT(CA2)'!K8</f>
        <v>0</v>
      </c>
      <c r="H95" s="140">
        <f>'2. XL-1F TT(CA2)'!O8</f>
        <v>0</v>
      </c>
      <c r="I95" s="194">
        <f>'2. XL-1F TT(CA2)'!S8</f>
        <v>0</v>
      </c>
    </row>
    <row r="96" spans="1:9" ht="21.75" hidden="1" customHeight="1">
      <c r="A96" s="213"/>
      <c r="B96" s="218"/>
      <c r="C96" s="220" t="s">
        <v>100</v>
      </c>
      <c r="D96" s="193">
        <f>'2. XL-1F TT '!K9</f>
        <v>0</v>
      </c>
      <c r="E96" s="140">
        <f>'2. XL-1F TT '!O9</f>
        <v>0</v>
      </c>
      <c r="F96" s="140">
        <f>'2. XL-1F TT '!S9</f>
        <v>0</v>
      </c>
      <c r="G96" s="140">
        <f>'2. XL-1F TT(CA2)'!K9</f>
        <v>0</v>
      </c>
      <c r="H96" s="140">
        <f>'2. XL-1F TT(CA2)'!O9</f>
        <v>0</v>
      </c>
      <c r="I96" s="194">
        <f>'2. XL-1F TT(CA2)'!S9</f>
        <v>0</v>
      </c>
    </row>
    <row r="97" spans="1:9" ht="21.75" hidden="1" customHeight="1">
      <c r="A97" s="212">
        <v>3</v>
      </c>
      <c r="B97" s="222" t="s">
        <v>132</v>
      </c>
      <c r="C97" s="219" t="s">
        <v>99</v>
      </c>
      <c r="D97" s="193">
        <f>'2. XL-1F TT '!K10</f>
        <v>5.5383960000000041</v>
      </c>
      <c r="E97" s="140">
        <f>'2. XL-1F TT '!O10</f>
        <v>0</v>
      </c>
      <c r="F97" s="140">
        <f>'2. XL-1F TT '!S10</f>
        <v>0</v>
      </c>
      <c r="G97" s="140">
        <f>'2. XL-1F TT(CA2)'!K10</f>
        <v>0</v>
      </c>
      <c r="H97" s="140">
        <f>'2. XL-1F TT(CA2)'!O10</f>
        <v>0</v>
      </c>
      <c r="I97" s="194">
        <f>'2. XL-1F TT(CA2)'!S10</f>
        <v>0.46471199999999296</v>
      </c>
    </row>
    <row r="98" spans="1:9" ht="21.75" hidden="1" customHeight="1">
      <c r="A98" s="214"/>
      <c r="B98" s="223"/>
      <c r="C98" s="220" t="s">
        <v>103</v>
      </c>
      <c r="D98" s="193">
        <f>'2. XL-1F TT '!K11</f>
        <v>1.5507508800000012</v>
      </c>
      <c r="E98" s="140">
        <f>'2. XL-1F TT '!O11</f>
        <v>0</v>
      </c>
      <c r="F98" s="140">
        <f>'2. XL-1F TT '!S11</f>
        <v>0</v>
      </c>
      <c r="G98" s="140">
        <f>'2. XL-1F TT(CA2)'!K11</f>
        <v>0</v>
      </c>
      <c r="H98" s="140">
        <f>'2. XL-1F TT(CA2)'!O11</f>
        <v>0</v>
      </c>
      <c r="I98" s="194">
        <f>'2. XL-1F TT(CA2)'!S11</f>
        <v>0.13011935999999805</v>
      </c>
    </row>
    <row r="99" spans="1:9" ht="21.75" hidden="1" customHeight="1">
      <c r="A99" s="212">
        <v>4</v>
      </c>
      <c r="B99" s="222" t="s">
        <v>133</v>
      </c>
      <c r="C99" s="219" t="s">
        <v>99</v>
      </c>
      <c r="D99" s="193">
        <f>'2. XL-1F TT '!K12</f>
        <v>1.9346340000000006</v>
      </c>
      <c r="E99" s="140">
        <f>'2. XL-1F TT '!O12</f>
        <v>0</v>
      </c>
      <c r="F99" s="140">
        <f>'2. XL-1F TT '!S12</f>
        <v>0</v>
      </c>
      <c r="G99" s="140">
        <f>'2. XL-1F TT(CA2)'!K12</f>
        <v>3.2827500000000001</v>
      </c>
      <c r="H99" s="140">
        <f>'2. XL-1F TT(CA2)'!O12</f>
        <v>0</v>
      </c>
      <c r="I99" s="194">
        <f>'2. XL-1F TT(CA2)'!S12</f>
        <v>0</v>
      </c>
    </row>
    <row r="100" spans="1:9" ht="21.75" hidden="1" customHeight="1">
      <c r="A100" s="214"/>
      <c r="B100" s="223"/>
      <c r="C100" s="220" t="s">
        <v>103</v>
      </c>
      <c r="D100" s="193">
        <f>'2. XL-1F TT '!K13</f>
        <v>0.54169752000000015</v>
      </c>
      <c r="E100" s="140">
        <f>'2. XL-1F TT '!O13</f>
        <v>0</v>
      </c>
      <c r="F100" s="140">
        <f>'2. XL-1F TT '!S13</f>
        <v>0</v>
      </c>
      <c r="G100" s="140">
        <f>'2. XL-1F TT(CA2)'!K13</f>
        <v>0.91917000000000004</v>
      </c>
      <c r="H100" s="140">
        <f>'2. XL-1F TT(CA2)'!O13</f>
        <v>0</v>
      </c>
      <c r="I100" s="194">
        <f>'2. XL-1F TT(CA2)'!S13</f>
        <v>0</v>
      </c>
    </row>
    <row r="101" spans="1:9" ht="21.75" hidden="1" customHeight="1">
      <c r="A101" s="215">
        <v>5</v>
      </c>
      <c r="B101" s="220" t="s">
        <v>78</v>
      </c>
      <c r="C101" s="221"/>
      <c r="D101" s="193">
        <f>'2. XL-1F TT '!K14</f>
        <v>0</v>
      </c>
      <c r="E101" s="140">
        <f>'2. XL-1F TT '!O14</f>
        <v>0</v>
      </c>
      <c r="F101" s="140">
        <f>'2. XL-1F TT '!S14</f>
        <v>0</v>
      </c>
      <c r="G101" s="140">
        <f>'2. XL-1F TT(CA2)'!K14</f>
        <v>0</v>
      </c>
      <c r="H101" s="140">
        <f>'2. XL-1F TT(CA2)'!O14</f>
        <v>0</v>
      </c>
      <c r="I101" s="194">
        <f>'2. XL-1F TT(CA2)'!S14</f>
        <v>0</v>
      </c>
    </row>
    <row r="102" spans="1:9" ht="21.75" hidden="1" customHeight="1">
      <c r="A102" s="215">
        <v>6</v>
      </c>
      <c r="B102" s="220" t="s">
        <v>56</v>
      </c>
      <c r="C102" s="221"/>
      <c r="D102" s="193">
        <f>'2. XL-1F TT '!K15</f>
        <v>0</v>
      </c>
      <c r="E102" s="140">
        <f>'2. XL-1F TT '!O15</f>
        <v>4.9877500000000001</v>
      </c>
      <c r="F102" s="140">
        <f>'2. XL-1F TT '!S15</f>
        <v>4.9877500000000001</v>
      </c>
      <c r="G102" s="140">
        <f>'2. XL-1F TT(CA2)'!K15</f>
        <v>2.39412000000002</v>
      </c>
      <c r="H102" s="140">
        <f>'2. XL-1F TT(CA2)'!O15</f>
        <v>2.39412000000002</v>
      </c>
      <c r="I102" s="194">
        <f>'2. XL-1F TT(CA2)'!S15</f>
        <v>0</v>
      </c>
    </row>
    <row r="103" spans="1:9" ht="21.75" hidden="1" customHeight="1">
      <c r="A103" s="224">
        <v>7</v>
      </c>
      <c r="B103" s="217" t="s">
        <v>105</v>
      </c>
      <c r="C103" s="226"/>
      <c r="D103" s="193">
        <f>'2. XL-1F TT '!K16</f>
        <v>0</v>
      </c>
      <c r="E103" s="140">
        <f>'2. XL-1F TT '!O16</f>
        <v>0</v>
      </c>
      <c r="F103" s="140">
        <f>'2. XL-1F TT '!S16</f>
        <v>0</v>
      </c>
      <c r="G103" s="140">
        <f>'2. XL-1F TT(CA2)'!K16</f>
        <v>0</v>
      </c>
      <c r="H103" s="140">
        <f>'2. XL-1F TT(CA2)'!O16</f>
        <v>0</v>
      </c>
      <c r="I103" s="194">
        <f>'2. XL-1F TT(CA2)'!S16</f>
        <v>2.8993799999999963</v>
      </c>
    </row>
    <row r="104" spans="1:9" ht="21.75" hidden="1" customHeight="1">
      <c r="A104" s="225"/>
      <c r="B104" s="227"/>
      <c r="C104" s="228"/>
      <c r="D104" s="193">
        <f>'2. XL-1F TT '!K17</f>
        <v>0</v>
      </c>
      <c r="E104" s="140">
        <f>'2. XL-1F TT '!O17</f>
        <v>0</v>
      </c>
      <c r="F104" s="140">
        <f>'2. XL-1F TT '!S17</f>
        <v>0</v>
      </c>
      <c r="G104" s="140">
        <f>'2. XL-1F TT(CA2)'!K17</f>
        <v>0</v>
      </c>
      <c r="H104" s="140">
        <f>'2. XL-1F TT(CA2)'!O17</f>
        <v>0</v>
      </c>
      <c r="I104" s="194">
        <f>'2. XL-1F TT(CA2)'!S17</f>
        <v>0</v>
      </c>
    </row>
    <row r="105" spans="1:9" ht="21.75" hidden="1" customHeight="1">
      <c r="A105" s="215">
        <v>8</v>
      </c>
      <c r="B105" s="220" t="s">
        <v>57</v>
      </c>
      <c r="C105" s="221"/>
      <c r="D105" s="193">
        <f>'2. XL-1F TT '!K18</f>
        <v>0</v>
      </c>
      <c r="E105" s="140">
        <f>'2. XL-1F TT '!O18</f>
        <v>0</v>
      </c>
      <c r="F105" s="140">
        <f>'2. XL-1F TT '!S18</f>
        <v>0</v>
      </c>
      <c r="G105" s="140">
        <f>'2. XL-1F TT(CA2)'!K18</f>
        <v>0</v>
      </c>
      <c r="H105" s="140">
        <f>'2. XL-1F TT(CA2)'!O18</f>
        <v>10.941562500000062</v>
      </c>
      <c r="I105" s="194">
        <f>'2. XL-1F TT(CA2)'!S18</f>
        <v>0</v>
      </c>
    </row>
    <row r="106" spans="1:9" ht="21.75" hidden="1" customHeight="1">
      <c r="A106" s="215">
        <v>9</v>
      </c>
      <c r="B106" s="220" t="s">
        <v>58</v>
      </c>
      <c r="C106" s="221"/>
      <c r="D106" s="193">
        <f>'2. XL-1F TT '!K19</f>
        <v>0</v>
      </c>
      <c r="E106" s="140">
        <f>'2. XL-1F TT '!O19</f>
        <v>0</v>
      </c>
      <c r="F106" s="140">
        <f>'2. XL-1F TT '!S19</f>
        <v>0</v>
      </c>
      <c r="G106" s="140">
        <f>'2. XL-1F TT(CA2)'!K19</f>
        <v>0</v>
      </c>
      <c r="H106" s="140">
        <f>'2. XL-1F TT(CA2)'!O19</f>
        <v>0</v>
      </c>
      <c r="I106" s="194">
        <f>'2. XL-1F TT(CA2)'!S19</f>
        <v>0</v>
      </c>
    </row>
    <row r="107" spans="1:9" ht="21.75" hidden="1" customHeight="1">
      <c r="A107" s="215">
        <v>11</v>
      </c>
      <c r="B107" s="220" t="s">
        <v>107</v>
      </c>
      <c r="C107" s="221"/>
      <c r="D107" s="193">
        <f>'2. XL-1F TT '!K20</f>
        <v>11.58984375</v>
      </c>
      <c r="E107" s="140">
        <f>'2. XL-1F TT '!O20</f>
        <v>10.278125000000001</v>
      </c>
      <c r="F107" s="140">
        <f>'2. XL-1F TT '!S20</f>
        <v>6.9988281249999993</v>
      </c>
      <c r="G107" s="140">
        <f>'2. XL-1F TT(CA2)'!K20</f>
        <v>18.148437500000004</v>
      </c>
      <c r="H107" s="140">
        <f>'2. XL-1F TT(CA2)'!O20</f>
        <v>0</v>
      </c>
      <c r="I107" s="194">
        <f>'2. XL-1F TT(CA2)'!S20</f>
        <v>0</v>
      </c>
    </row>
    <row r="108" spans="1:9" ht="21.75" hidden="1" customHeight="1">
      <c r="A108" s="215">
        <v>12</v>
      </c>
      <c r="B108" s="220" t="s">
        <v>106</v>
      </c>
      <c r="C108" s="221"/>
      <c r="D108" s="193">
        <f>'2. XL-1F TT '!K21</f>
        <v>0</v>
      </c>
      <c r="E108" s="140">
        <f>'2. XL-1F TT '!O21</f>
        <v>0</v>
      </c>
      <c r="F108" s="140">
        <f>'2. XL-1F TT '!S21</f>
        <v>0</v>
      </c>
      <c r="G108" s="140">
        <f>'2. XL-1F TT(CA2)'!K21</f>
        <v>0</v>
      </c>
      <c r="H108" s="140">
        <f>'2. XL-1F TT(CA2)'!O21</f>
        <v>0</v>
      </c>
      <c r="I108" s="194">
        <f>'2. XL-1F TT(CA2)'!S21</f>
        <v>0</v>
      </c>
    </row>
    <row r="109" spans="1:9" ht="21.75" hidden="1" customHeight="1">
      <c r="D109" s="185"/>
      <c r="E109" s="133"/>
      <c r="F109" s="133"/>
      <c r="G109" s="133"/>
      <c r="H109" s="133"/>
      <c r="I109" s="186"/>
    </row>
    <row r="110" spans="1:9" ht="21.75" hidden="1" customHeight="1">
      <c r="D110" s="185"/>
      <c r="E110" s="133"/>
      <c r="F110" s="133"/>
      <c r="G110" s="133"/>
      <c r="H110" s="133"/>
      <c r="I110" s="186"/>
    </row>
    <row r="111" spans="1:9" s="133" customFormat="1" ht="32.25" hidden="1" customHeight="1">
      <c r="A111" s="165"/>
      <c r="B111" s="166" t="s">
        <v>126</v>
      </c>
      <c r="C111" s="167"/>
      <c r="D111" s="185"/>
      <c r="I111" s="186"/>
    </row>
    <row r="112" spans="1:9" ht="21.75" hidden="1" customHeight="1">
      <c r="A112" s="163" t="s">
        <v>7</v>
      </c>
      <c r="B112" s="151"/>
      <c r="C112" s="151"/>
      <c r="D112" s="187" t="s">
        <v>154</v>
      </c>
      <c r="E112" s="142"/>
      <c r="F112" s="142"/>
      <c r="G112" s="142"/>
      <c r="H112" s="142"/>
      <c r="I112" s="188"/>
    </row>
    <row r="113" spans="1:9" ht="21.75" hidden="1" customHeight="1">
      <c r="A113" s="164"/>
      <c r="B113" s="160"/>
      <c r="C113" s="160"/>
      <c r="D113" s="191">
        <v>0.25</v>
      </c>
      <c r="E113" s="137">
        <v>0.41666666666666669</v>
      </c>
      <c r="F113" s="137">
        <v>0.58333333333333337</v>
      </c>
      <c r="G113" s="137">
        <v>0.75</v>
      </c>
      <c r="H113" s="137">
        <v>0.91666666666666663</v>
      </c>
      <c r="I113" s="192">
        <v>8.3333333333333329E-2</v>
      </c>
    </row>
    <row r="114" spans="1:9" ht="21.75" hidden="1" customHeight="1">
      <c r="A114" s="3508">
        <v>1</v>
      </c>
      <c r="B114" s="3510" t="s">
        <v>137</v>
      </c>
      <c r="C114" s="240" t="s">
        <v>99</v>
      </c>
      <c r="D114" s="185">
        <f>'3.XT-C TT'!I6</f>
        <v>48.026000000000003</v>
      </c>
      <c r="E114" s="133">
        <f>'3.XT-C TT'!M6</f>
        <v>50.9465</v>
      </c>
      <c r="F114" s="133">
        <f>'3.XT-C TT'!Q6</f>
        <v>51.271000000000001</v>
      </c>
      <c r="G114" s="133">
        <f>'3.XT-C TT(CA2)'!I6</f>
        <v>0</v>
      </c>
      <c r="H114" s="133">
        <f>'3.XT-C TT(CA2)'!M6</f>
        <v>0</v>
      </c>
      <c r="I114" s="186">
        <f>'3.XT-C TT(CA2)'!Q6</f>
        <v>0</v>
      </c>
    </row>
    <row r="115" spans="1:9" ht="21.75" hidden="1" customHeight="1">
      <c r="A115" s="3508"/>
      <c r="B115" s="3511"/>
      <c r="C115" s="239" t="s">
        <v>100</v>
      </c>
      <c r="D115" s="185">
        <f>'3.XT-C TT'!I7</f>
        <v>0</v>
      </c>
      <c r="E115" s="133">
        <f>'3.XT-C TT'!M7</f>
        <v>0</v>
      </c>
      <c r="F115" s="133">
        <f>'3.XT-C TT'!Q7</f>
        <v>0</v>
      </c>
      <c r="G115" s="133">
        <f>'3.XT-C TT(CA2)'!I7</f>
        <v>0</v>
      </c>
      <c r="H115" s="133">
        <f>'3.XT-C TT(CA2)'!M7</f>
        <v>0</v>
      </c>
      <c r="I115" s="186">
        <f>'3.XT-C TT(CA2)'!Q7</f>
        <v>0</v>
      </c>
    </row>
    <row r="116" spans="1:9" ht="21.75" hidden="1" customHeight="1">
      <c r="A116" s="3449">
        <v>2</v>
      </c>
      <c r="B116" s="3506" t="s">
        <v>138</v>
      </c>
      <c r="C116" s="237" t="s">
        <v>99</v>
      </c>
      <c r="D116" s="185">
        <f>'3.XT-C TT'!I8</f>
        <v>49.648500000000006</v>
      </c>
      <c r="E116" s="133">
        <f>'3.XT-C TT'!M8</f>
        <v>50.297499999999999</v>
      </c>
      <c r="F116" s="133">
        <f>'3.XT-C TT'!Q8</f>
        <v>50.297499999999999</v>
      </c>
      <c r="G116" s="133">
        <f>'3.XT-C TT(CA2)'!I8</f>
        <v>0</v>
      </c>
      <c r="H116" s="133">
        <f>'3.XT-C TT(CA2)'!M8</f>
        <v>0</v>
      </c>
      <c r="I116" s="186">
        <f>'3.XT-C TT(CA2)'!Q8</f>
        <v>0</v>
      </c>
    </row>
    <row r="117" spans="1:9" ht="21.75" hidden="1" customHeight="1">
      <c r="A117" s="3449"/>
      <c r="B117" s="3452"/>
      <c r="C117" s="235" t="s">
        <v>100</v>
      </c>
      <c r="D117" s="185">
        <f>'3.XT-C TT'!I9</f>
        <v>0</v>
      </c>
      <c r="E117" s="133">
        <f>'3.XT-C TT'!M9</f>
        <v>0</v>
      </c>
      <c r="F117" s="133">
        <f>'3.XT-C TT'!Q9</f>
        <v>0</v>
      </c>
      <c r="G117" s="133">
        <f>'3.XT-C TT(CA2)'!I9</f>
        <v>0</v>
      </c>
      <c r="H117" s="133">
        <f>'3.XT-C TT(CA2)'!M9</f>
        <v>0</v>
      </c>
      <c r="I117" s="186">
        <f>'3.XT-C TT(CA2)'!Q9</f>
        <v>0</v>
      </c>
    </row>
    <row r="118" spans="1:9" ht="21.75" hidden="1" customHeight="1">
      <c r="A118" s="3429">
        <v>3</v>
      </c>
      <c r="B118" s="3386" t="s">
        <v>139</v>
      </c>
      <c r="C118" s="234" t="s">
        <v>99</v>
      </c>
      <c r="D118" s="185">
        <f>'3.XT-C TT'!I10</f>
        <v>61.446000000000005</v>
      </c>
      <c r="E118" s="133">
        <f>'3.XT-C TT'!M10</f>
        <v>61.908000000000001</v>
      </c>
      <c r="F118" s="133">
        <f>'3.XT-C TT'!Q10</f>
        <v>62.370000000000005</v>
      </c>
      <c r="G118" s="133">
        <f>'3.XT-C TT(CA2)'!I10</f>
        <v>0</v>
      </c>
      <c r="H118" s="133">
        <f>'3.XT-C TT(CA2)'!M10</f>
        <v>0</v>
      </c>
      <c r="I118" s="186">
        <f>'3.XT-C TT(CA2)'!Q10</f>
        <v>0</v>
      </c>
    </row>
    <row r="119" spans="1:9" ht="21.75" hidden="1" customHeight="1">
      <c r="A119" s="3430"/>
      <c r="B119" s="3387"/>
      <c r="C119" s="235" t="s">
        <v>103</v>
      </c>
      <c r="D119" s="185">
        <f>'3.XT-C TT'!I11</f>
        <v>0</v>
      </c>
      <c r="E119" s="133">
        <f>'3.XT-C TT'!M11</f>
        <v>0</v>
      </c>
      <c r="F119" s="133">
        <f>'3.XT-C TT'!Q11</f>
        <v>0</v>
      </c>
      <c r="G119" s="133">
        <f>'3.XT-C TT(CA2)'!I11</f>
        <v>0</v>
      </c>
      <c r="H119" s="133">
        <f>'3.XT-C TT(CA2)'!M11</f>
        <v>0</v>
      </c>
      <c r="I119" s="186">
        <f>'3.XT-C TT(CA2)'!Q11</f>
        <v>0</v>
      </c>
    </row>
    <row r="120" spans="1:9" ht="21.75" hidden="1" customHeight="1">
      <c r="A120" s="3429">
        <v>4</v>
      </c>
      <c r="B120" s="3386" t="s">
        <v>140</v>
      </c>
      <c r="C120" s="234" t="s">
        <v>99</v>
      </c>
      <c r="D120" s="185">
        <f>'3.XT-C TT'!I12</f>
        <v>59.598000000000006</v>
      </c>
      <c r="E120" s="133">
        <f>'3.XT-C TT'!M12</f>
        <v>60.753</v>
      </c>
      <c r="F120" s="133">
        <f>'3.XT-C TT'!Q12</f>
        <v>61.215000000000003</v>
      </c>
      <c r="G120" s="133">
        <f>'3.XT-C TT(CA2)'!I12</f>
        <v>0</v>
      </c>
      <c r="H120" s="133">
        <f>'3.XT-C TT(CA2)'!M12</f>
        <v>0</v>
      </c>
      <c r="I120" s="186">
        <f>'3.XT-C TT(CA2)'!Q12</f>
        <v>0</v>
      </c>
    </row>
    <row r="121" spans="1:9" ht="21.75" hidden="1" customHeight="1">
      <c r="A121" s="3430"/>
      <c r="B121" s="3387"/>
      <c r="C121" s="235" t="s">
        <v>103</v>
      </c>
      <c r="D121" s="185">
        <f>'3.XT-C TT'!I13</f>
        <v>0</v>
      </c>
      <c r="E121" s="133">
        <f>'3.XT-C TT'!M13</f>
        <v>0</v>
      </c>
      <c r="F121" s="133">
        <f>'3.XT-C TT'!Q13</f>
        <v>0</v>
      </c>
      <c r="G121" s="133">
        <f>'3.XT-C TT(CA2)'!I13</f>
        <v>0</v>
      </c>
      <c r="H121" s="133">
        <f>'3.XT-C TT(CA2)'!M13</f>
        <v>0</v>
      </c>
      <c r="I121" s="186">
        <f>'3.XT-C TT(CA2)'!Q13</f>
        <v>0</v>
      </c>
    </row>
    <row r="122" spans="1:9" ht="21.75" hidden="1" customHeight="1">
      <c r="A122" s="3429">
        <v>5</v>
      </c>
      <c r="B122" s="3444" t="s">
        <v>112</v>
      </c>
      <c r="C122" s="236"/>
      <c r="D122" s="185">
        <f>'3.XT-C TT'!I14</f>
        <v>142.4</v>
      </c>
      <c r="E122" s="133">
        <f>'3.XT-C TT'!M14</f>
        <v>143.19999999999999</v>
      </c>
      <c r="F122" s="133">
        <f>'3.XT-C TT'!Q14</f>
        <v>138.80000000000001</v>
      </c>
      <c r="G122" s="133">
        <f>'3.XT-C TT(CA2)'!I14</f>
        <v>0</v>
      </c>
      <c r="H122" s="133">
        <f>'3.XT-C TT(CA2)'!M14</f>
        <v>0</v>
      </c>
      <c r="I122" s="186">
        <f>'3.XT-C TT(CA2)'!Q14</f>
        <v>0</v>
      </c>
    </row>
    <row r="123" spans="1:9" ht="21.75" hidden="1" customHeight="1">
      <c r="A123" s="3430"/>
      <c r="B123" s="3445"/>
      <c r="C123" s="236"/>
      <c r="D123" s="185">
        <f>'3.XT-C TT'!I15</f>
        <v>8.3849999999999998</v>
      </c>
      <c r="E123" s="133">
        <f>'3.XT-C TT'!M15</f>
        <v>8.3849999999999998</v>
      </c>
      <c r="F123" s="133">
        <f>'3.XT-C TT'!Q15</f>
        <v>8.4500000000000011</v>
      </c>
      <c r="G123" s="133">
        <f>'3.XT-C TT(CA2)'!I15</f>
        <v>0</v>
      </c>
      <c r="H123" s="133">
        <f>'3.XT-C TT(CA2)'!M15</f>
        <v>0</v>
      </c>
      <c r="I123" s="186">
        <f>'3.XT-C TT(CA2)'!Q15</f>
        <v>0</v>
      </c>
    </row>
    <row r="124" spans="1:9" ht="21.75" hidden="1" customHeight="1">
      <c r="A124" s="3429">
        <v>6</v>
      </c>
      <c r="B124" s="3435" t="s">
        <v>37</v>
      </c>
      <c r="C124" s="3436"/>
      <c r="D124" s="185">
        <f>'3.XT-C TT'!I16</f>
        <v>6.7287950000000007</v>
      </c>
      <c r="E124" s="133">
        <f>'3.XT-C TT'!M16</f>
        <v>6.6864250000000007</v>
      </c>
      <c r="F124" s="133">
        <f>'3.XT-C TT'!Q16</f>
        <v>6.6228700000000007</v>
      </c>
      <c r="G124" s="133">
        <f>'3.XT-C TT(CA2)'!I16</f>
        <v>-1.0461</v>
      </c>
      <c r="H124" s="133">
        <f>'3.XT-C TT(CA2)'!M16</f>
        <v>-1.0461</v>
      </c>
      <c r="I124" s="186">
        <f>'3.XT-C TT(CA2)'!Q16</f>
        <v>-1.0461</v>
      </c>
    </row>
    <row r="125" spans="1:9" ht="21.75" hidden="1" customHeight="1">
      <c r="A125" s="3430"/>
      <c r="B125" s="3437"/>
      <c r="C125" s="3438"/>
      <c r="D125" s="185">
        <f>'3.XT-C TT'!I17</f>
        <v>2.11</v>
      </c>
      <c r="E125" s="133">
        <f>'3.XT-C TT'!M17</f>
        <v>2.1</v>
      </c>
      <c r="F125" s="133">
        <f>'3.XT-C TT'!Q17</f>
        <v>2.14</v>
      </c>
      <c r="G125" s="133">
        <f>'3.XT-C TT(CA2)'!I17</f>
        <v>0</v>
      </c>
      <c r="H125" s="133">
        <f>'3.XT-C TT(CA2)'!M17</f>
        <v>0</v>
      </c>
      <c r="I125" s="186">
        <f>'3.XT-C TT(CA2)'!Q17</f>
        <v>0</v>
      </c>
    </row>
    <row r="126" spans="1:9" ht="21.75" hidden="1" customHeight="1">
      <c r="A126" s="2662"/>
      <c r="B126" s="2663"/>
      <c r="C126" s="2664" t="s">
        <v>1588</v>
      </c>
      <c r="D126" s="185">
        <f>'3.XT-C TT'!I18</f>
        <v>0.3878125</v>
      </c>
      <c r="E126" s="133">
        <f>'3.XT-C TT'!M18</f>
        <v>0.45624999999999999</v>
      </c>
      <c r="F126" s="133">
        <f>'3.XT-C TT'!Q18</f>
        <v>0.49274999999999997</v>
      </c>
      <c r="G126" s="133">
        <f>'3.XT-C TT(CA2)'!I18</f>
        <v>0</v>
      </c>
      <c r="H126" s="133">
        <f>'3.XT-C TT(CA2)'!M18</f>
        <v>0</v>
      </c>
      <c r="I126" s="186">
        <f>'3.XT-C TT(CA2)'!Q18</f>
        <v>0</v>
      </c>
    </row>
    <row r="127" spans="1:9" ht="21.75" hidden="1" customHeight="1">
      <c r="A127" s="238">
        <v>7</v>
      </c>
      <c r="B127" s="3239" t="s">
        <v>1589</v>
      </c>
      <c r="C127" s="3240"/>
      <c r="D127" s="185">
        <f>'3.XT-C TT'!I19</f>
        <v>0</v>
      </c>
      <c r="E127" s="133">
        <f>'3.XT-C TT'!M19</f>
        <v>0</v>
      </c>
      <c r="F127" s="133">
        <f>'3.XT-C TT'!Q19</f>
        <v>0</v>
      </c>
      <c r="G127" s="133">
        <f>'3.XT-C TT(CA2)'!I19</f>
        <v>0</v>
      </c>
      <c r="H127" s="133">
        <f>'3.XT-C TT(CA2)'!M19</f>
        <v>0</v>
      </c>
      <c r="I127" s="186">
        <f>'3.XT-C TT(CA2)'!Q19</f>
        <v>0</v>
      </c>
    </row>
    <row r="128" spans="1:9" ht="21.75" hidden="1" customHeight="1">
      <c r="A128" s="2660"/>
      <c r="B128" s="3239" t="s">
        <v>1589</v>
      </c>
      <c r="C128" s="3240"/>
      <c r="D128" s="185">
        <f>'3.XT-C TT'!I20</f>
        <v>0.44712499999999994</v>
      </c>
      <c r="E128" s="133">
        <f>'3.XT-C TT'!M20</f>
        <v>0.46993750000000001</v>
      </c>
      <c r="F128" s="133">
        <f>'3.XT-C TT'!Q20</f>
        <v>0.48362500000000003</v>
      </c>
      <c r="G128" s="133">
        <f>'3.XT-C TT(CA2)'!I20</f>
        <v>0</v>
      </c>
      <c r="H128" s="133">
        <f>'3.XT-C TT(CA2)'!M20</f>
        <v>0</v>
      </c>
      <c r="I128" s="186">
        <f>'3.XT-C TT(CA2)'!Q20</f>
        <v>0</v>
      </c>
    </row>
    <row r="129" spans="1:9" ht="21.75" hidden="1" customHeight="1">
      <c r="A129" s="238">
        <v>8</v>
      </c>
      <c r="B129" s="3239" t="s">
        <v>36</v>
      </c>
      <c r="C129" s="3240"/>
      <c r="D129" s="185">
        <f>'3.XT-C TT'!I21</f>
        <v>0.45168749999999996</v>
      </c>
      <c r="E129" s="133">
        <f>'3.XT-C TT'!M21</f>
        <v>0.45624999999999999</v>
      </c>
      <c r="F129" s="133">
        <f>'3.XT-C TT'!Q21</f>
        <v>0.45624999999999999</v>
      </c>
      <c r="G129" s="133">
        <f>'3.XT-C TT(CA2)'!I20</f>
        <v>0</v>
      </c>
      <c r="H129" s="133">
        <f>'3.XT-C TT(CA2)'!M20</f>
        <v>0</v>
      </c>
      <c r="I129" s="186">
        <f>'3.XT-C TT(CA2)'!Q20</f>
        <v>0</v>
      </c>
    </row>
    <row r="130" spans="1:9" ht="21.75" hidden="1" customHeight="1">
      <c r="A130" s="238">
        <v>10</v>
      </c>
      <c r="B130" s="3264" t="s">
        <v>111</v>
      </c>
      <c r="C130" s="3265" t="s">
        <v>111</v>
      </c>
      <c r="D130" s="185">
        <f>'3.XT-C TT'!I22</f>
        <v>7.4340000000000005E-3</v>
      </c>
      <c r="E130" s="133">
        <f>'3.XT-C TT'!M22</f>
        <v>7.0559999999999998E-3</v>
      </c>
      <c r="F130" s="133">
        <f>'3.XT-C TT'!Q22</f>
        <v>7.3080000000000003E-3</v>
      </c>
      <c r="G130" s="133">
        <f>'3.XT-C TT(CA2)'!I22</f>
        <v>0</v>
      </c>
      <c r="H130" s="133">
        <f>'3.XT-C TT(CA2)'!M22</f>
        <v>0</v>
      </c>
      <c r="I130" s="186">
        <f>'3.XT-C TT(CA2)'!Q22</f>
        <v>0</v>
      </c>
    </row>
    <row r="131" spans="1:9" ht="21.75" hidden="1" customHeight="1">
      <c r="A131" s="146"/>
      <c r="B131" s="147" t="s">
        <v>108</v>
      </c>
      <c r="C131" s="154"/>
      <c r="D131" s="187" t="s">
        <v>156</v>
      </c>
      <c r="E131" s="142"/>
      <c r="F131" s="142"/>
      <c r="G131" s="142"/>
      <c r="H131" s="142"/>
      <c r="I131" s="188"/>
    </row>
    <row r="132" spans="1:9" ht="21.75" hidden="1" customHeight="1">
      <c r="A132" s="148" t="s">
        <v>7</v>
      </c>
      <c r="B132" s="149" t="s">
        <v>60</v>
      </c>
      <c r="C132" s="150"/>
      <c r="D132" s="189">
        <v>0.25</v>
      </c>
      <c r="E132" s="145">
        <v>0.41666666666666669</v>
      </c>
      <c r="F132" s="145">
        <v>0.58333333333333337</v>
      </c>
      <c r="G132" s="145">
        <v>0.75</v>
      </c>
      <c r="H132" s="145">
        <v>0.91666666666666663</v>
      </c>
      <c r="I132" s="190">
        <v>8.3333333333333329E-2</v>
      </c>
    </row>
    <row r="133" spans="1:9" ht="21.75" hidden="1" customHeight="1">
      <c r="A133" s="238">
        <v>1</v>
      </c>
      <c r="B133" s="3417" t="s">
        <v>34</v>
      </c>
      <c r="C133" s="3418"/>
      <c r="D133" s="185">
        <f>'3.XT-C TT'!I29</f>
        <v>58</v>
      </c>
      <c r="E133" s="133">
        <f>'3.XT-C TT'!M29</f>
        <v>58</v>
      </c>
      <c r="F133" s="133">
        <f>'3.XT-C TT'!Q29</f>
        <v>58</v>
      </c>
      <c r="G133" s="133">
        <f>'3.XT-C TT(CA2)'!I29</f>
        <v>0</v>
      </c>
      <c r="H133" s="133">
        <f>'3.XT-C TT(CA2)'!M29</f>
        <v>0</v>
      </c>
      <c r="I133" s="186">
        <f>'3.XT-C TT(CA2)'!Q29</f>
        <v>0</v>
      </c>
    </row>
    <row r="134" spans="1:9" ht="21.75" hidden="1" customHeight="1">
      <c r="A134" s="238">
        <v>2</v>
      </c>
      <c r="B134" s="3417" t="s">
        <v>35</v>
      </c>
      <c r="C134" s="3418"/>
      <c r="D134" s="185">
        <f>'3.XT-C TT'!I30</f>
        <v>58</v>
      </c>
      <c r="E134" s="133">
        <f>'3.XT-C TT'!M30</f>
        <v>58</v>
      </c>
      <c r="F134" s="133">
        <f>'3.XT-C TT'!Q30</f>
        <v>59</v>
      </c>
      <c r="G134" s="133">
        <f>'3.XT-C TT(CA2)'!I30</f>
        <v>0</v>
      </c>
      <c r="H134" s="133">
        <f>'3.XT-C TT(CA2)'!M30</f>
        <v>0</v>
      </c>
      <c r="I134" s="186">
        <f>'3.XT-C TT(CA2)'!Q30</f>
        <v>0</v>
      </c>
    </row>
    <row r="135" spans="1:9" ht="21.75" hidden="1" customHeight="1">
      <c r="A135" s="238">
        <v>3</v>
      </c>
      <c r="B135" s="3417" t="s">
        <v>27</v>
      </c>
      <c r="C135" s="3418"/>
      <c r="D135" s="185">
        <f>'3.XT-C TT'!I31</f>
        <v>59</v>
      </c>
      <c r="E135" s="133">
        <f>'3.XT-C TT'!M31</f>
        <v>58</v>
      </c>
      <c r="F135" s="133">
        <f>'3.XT-C TT'!Q31</f>
        <v>59</v>
      </c>
      <c r="G135" s="133">
        <f>'3.XT-C TT(CA2)'!I31</f>
        <v>0</v>
      </c>
      <c r="H135" s="133">
        <f>'3.XT-C TT(CA2)'!M31</f>
        <v>0</v>
      </c>
      <c r="I135" s="186">
        <f>'3.XT-C TT(CA2)'!Q31</f>
        <v>0</v>
      </c>
    </row>
    <row r="136" spans="1:9" ht="21.75" hidden="1" customHeight="1">
      <c r="A136" s="238">
        <v>4</v>
      </c>
      <c r="B136" s="3417" t="s">
        <v>28</v>
      </c>
      <c r="C136" s="3418"/>
      <c r="D136" s="185">
        <f>'3.XT-C TT'!I32</f>
        <v>59</v>
      </c>
      <c r="E136" s="133">
        <f>'3.XT-C TT'!M32</f>
        <v>59</v>
      </c>
      <c r="F136" s="133">
        <f>'3.XT-C TT'!Q32</f>
        <v>58</v>
      </c>
      <c r="G136" s="133">
        <f>'3.XT-C TT(CA2)'!I32</f>
        <v>0</v>
      </c>
      <c r="H136" s="133">
        <f>'3.XT-C TT(CA2)'!M32</f>
        <v>0</v>
      </c>
      <c r="I136" s="186">
        <f>'3.XT-C TT(CA2)'!Q32</f>
        <v>0</v>
      </c>
    </row>
    <row r="137" spans="1:9" ht="21.75" hidden="1" customHeight="1">
      <c r="A137" s="238">
        <v>5</v>
      </c>
      <c r="B137" s="3417" t="s">
        <v>29</v>
      </c>
      <c r="C137" s="3418"/>
      <c r="D137" s="185">
        <f>'3.XT-C TT'!I33</f>
        <v>25</v>
      </c>
      <c r="E137" s="133">
        <f>'3.XT-C TT'!M33</f>
        <v>26</v>
      </c>
      <c r="F137" s="133">
        <f>'3.XT-C TT'!Q33</f>
        <v>25</v>
      </c>
      <c r="G137" s="133">
        <f>'3.XT-C TT(CA2)'!I33</f>
        <v>0</v>
      </c>
      <c r="H137" s="133">
        <f>'3.XT-C TT(CA2)'!M33</f>
        <v>0</v>
      </c>
      <c r="I137" s="186">
        <f>'3.XT-C TT(CA2)'!Q33</f>
        <v>0</v>
      </c>
    </row>
    <row r="138" spans="1:9" ht="21.75" hidden="1" customHeight="1">
      <c r="A138" s="238">
        <v>6</v>
      </c>
      <c r="B138" s="3417" t="s">
        <v>30</v>
      </c>
      <c r="C138" s="3418"/>
      <c r="D138" s="185">
        <f>'3.XT-C TT'!I34</f>
        <v>38</v>
      </c>
      <c r="E138" s="133">
        <f>'3.XT-C TT'!M34</f>
        <v>38</v>
      </c>
      <c r="F138" s="133">
        <f>'3.XT-C TT'!Q34</f>
        <v>37</v>
      </c>
      <c r="G138" s="133">
        <f>'3.XT-C TT(CA2)'!I34</f>
        <v>0</v>
      </c>
      <c r="H138" s="133">
        <f>'3.XT-C TT(CA2)'!M34</f>
        <v>0</v>
      </c>
      <c r="I138" s="186">
        <f>'3.XT-C TT(CA2)'!Q34</f>
        <v>0</v>
      </c>
    </row>
    <row r="139" spans="1:9" ht="21.75" hidden="1" customHeight="1">
      <c r="A139" s="238">
        <v>7</v>
      </c>
      <c r="B139" s="3417" t="s">
        <v>31</v>
      </c>
      <c r="C139" s="3418"/>
      <c r="D139" s="185">
        <f>'3.XT-C TT'!I35</f>
        <v>62</v>
      </c>
      <c r="E139" s="133">
        <f>'3.XT-C TT'!M35</f>
        <v>61</v>
      </c>
      <c r="F139" s="133">
        <f>'3.XT-C TT'!Q35</f>
        <v>58</v>
      </c>
      <c r="G139" s="133">
        <f>'3.XT-C TT(CA2)'!I35</f>
        <v>0</v>
      </c>
      <c r="H139" s="133">
        <f>'3.XT-C TT(CA2)'!M35</f>
        <v>0</v>
      </c>
      <c r="I139" s="186">
        <f>'3.XT-C TT(CA2)'!Q35</f>
        <v>0</v>
      </c>
    </row>
    <row r="140" spans="1:9" ht="21.75" hidden="1" customHeight="1">
      <c r="A140" s="238">
        <v>8</v>
      </c>
      <c r="B140" s="3417" t="s">
        <v>32</v>
      </c>
      <c r="C140" s="3418"/>
      <c r="D140" s="185">
        <f>'3.XT-C TT'!K36</f>
        <v>93</v>
      </c>
      <c r="E140" s="133">
        <f>'3.XT-C TT'!O36</f>
        <v>92</v>
      </c>
      <c r="F140" s="133">
        <f>'3.XT-C TT'!S36</f>
        <v>92</v>
      </c>
      <c r="G140" s="133">
        <f>'3.XT-C TT(CA2)'!K36</f>
        <v>0</v>
      </c>
      <c r="H140" s="133">
        <f>'3.XT-C TT(CA2)'!O36</f>
        <v>0</v>
      </c>
      <c r="I140" s="186">
        <f>'3.XT-C TT(CA2)'!S36</f>
        <v>0</v>
      </c>
    </row>
    <row r="141" spans="1:9" ht="21.75" hidden="1" customHeight="1">
      <c r="A141" s="146"/>
      <c r="B141" s="147" t="s">
        <v>109</v>
      </c>
      <c r="C141" s="154"/>
      <c r="D141" s="187" t="s">
        <v>157</v>
      </c>
      <c r="E141" s="142"/>
      <c r="F141" s="142"/>
      <c r="G141" s="142"/>
      <c r="H141" s="142"/>
      <c r="I141" s="188"/>
    </row>
    <row r="142" spans="1:9" ht="21.75" hidden="1" customHeight="1">
      <c r="A142" s="148" t="s">
        <v>7</v>
      </c>
      <c r="B142" s="149" t="s">
        <v>91</v>
      </c>
      <c r="C142" s="150"/>
      <c r="D142" s="189">
        <v>0.25</v>
      </c>
      <c r="E142" s="145">
        <v>0.41666666666666669</v>
      </c>
      <c r="F142" s="145">
        <v>0.58333333333333337</v>
      </c>
      <c r="G142" s="145">
        <v>0.75</v>
      </c>
      <c r="H142" s="145">
        <v>0.91666666666666663</v>
      </c>
      <c r="I142" s="190">
        <v>8.3333333333333329E-2</v>
      </c>
    </row>
    <row r="143" spans="1:9" ht="21.75" hidden="1" customHeight="1">
      <c r="A143" s="238">
        <v>1</v>
      </c>
      <c r="B143" s="3513" t="s">
        <v>114</v>
      </c>
      <c r="C143" s="3514"/>
      <c r="D143" s="185">
        <f>'3.XT-C TT'!I43</f>
        <v>42</v>
      </c>
      <c r="E143" s="133">
        <f>'3.XT-C TT'!M43</f>
        <v>40</v>
      </c>
      <c r="F143" s="133">
        <f>'3.XT-C TT'!Q43</f>
        <v>42</v>
      </c>
      <c r="G143" s="1511">
        <f>'3.XT-C TT(CA2)'!I43</f>
        <v>0</v>
      </c>
      <c r="H143" s="1511">
        <f>'3.XT-C TT(CA2)'!M43</f>
        <v>0</v>
      </c>
      <c r="I143" s="1512">
        <f>'3.XT-C TT(CA2)'!Q43</f>
        <v>0</v>
      </c>
    </row>
    <row r="144" spans="1:9" ht="21.75" hidden="1" customHeight="1">
      <c r="A144" s="238">
        <v>2</v>
      </c>
      <c r="B144" s="3513" t="s">
        <v>113</v>
      </c>
      <c r="C144" s="3514"/>
      <c r="D144" s="185">
        <f>'3.XT-C TT'!I44</f>
        <v>195</v>
      </c>
      <c r="E144" s="133">
        <f>'3.XT-C TT'!M44</f>
        <v>197</v>
      </c>
      <c r="F144" s="133">
        <f>'3.XT-C TT'!Q44</f>
        <v>200</v>
      </c>
      <c r="G144" s="1511">
        <f>'3.XT-C TT(CA2)'!I44</f>
        <v>0</v>
      </c>
      <c r="H144" s="1511">
        <f>'3.XT-C TT(CA2)'!M44</f>
        <v>0</v>
      </c>
      <c r="I144" s="1512">
        <f>'3.XT-C TT(CA2)'!Q44</f>
        <v>0</v>
      </c>
    </row>
    <row r="145" spans="1:9" ht="21.75" hidden="1" customHeight="1">
      <c r="A145" s="139"/>
      <c r="B145" s="139"/>
      <c r="C145" s="139"/>
      <c r="D145" s="187" t="s">
        <v>155</v>
      </c>
      <c r="E145" s="142"/>
      <c r="F145" s="142"/>
      <c r="G145" s="142"/>
      <c r="H145" s="142"/>
      <c r="I145" s="188"/>
    </row>
    <row r="146" spans="1:9" ht="21.75" hidden="1" customHeight="1">
      <c r="A146" s="139"/>
      <c r="B146" s="139"/>
      <c r="C146" s="139"/>
      <c r="D146" s="191">
        <v>0.25</v>
      </c>
      <c r="E146" s="137">
        <v>0.41666666666666669</v>
      </c>
      <c r="F146" s="137">
        <v>0.58333333333333337</v>
      </c>
      <c r="G146" s="137">
        <v>0.75</v>
      </c>
      <c r="H146" s="137">
        <v>0.91666666666666663</v>
      </c>
      <c r="I146" s="192">
        <v>8.3333333333333329E-2</v>
      </c>
    </row>
    <row r="147" spans="1:9" ht="21.75" hidden="1" customHeight="1">
      <c r="A147" s="3429">
        <v>1</v>
      </c>
      <c r="B147" s="3450" t="s">
        <v>137</v>
      </c>
      <c r="C147" s="234" t="s">
        <v>99</v>
      </c>
      <c r="D147" s="198">
        <f>'3.XT-C TT'!K6</f>
        <v>30.630557999999947</v>
      </c>
      <c r="E147" s="155">
        <f>'3.XT-C TT'!O6</f>
        <v>0</v>
      </c>
      <c r="F147" s="155">
        <f>'3.XT-C TT'!S6</f>
        <v>0</v>
      </c>
      <c r="G147" s="155">
        <f>'3.XT-C TT(CA2)'!K6</f>
        <v>0</v>
      </c>
      <c r="H147" s="155">
        <f>'3.XT-C TT(CA2)'!O6</f>
        <v>0</v>
      </c>
      <c r="I147" s="199">
        <f>'3.XT-C TT(CA2)'!S6</f>
        <v>0</v>
      </c>
    </row>
    <row r="148" spans="1:9" ht="21.75" hidden="1" customHeight="1">
      <c r="A148" s="3449"/>
      <c r="B148" s="3452"/>
      <c r="C148" s="235" t="s">
        <v>100</v>
      </c>
      <c r="D148" s="198">
        <f>'3.XT-C TT'!K7</f>
        <v>10.414389719999981</v>
      </c>
      <c r="E148" s="155">
        <f>'3.XT-C TT'!O7</f>
        <v>0</v>
      </c>
      <c r="F148" s="155">
        <f>'3.XT-C TT'!S7</f>
        <v>0</v>
      </c>
      <c r="G148" s="155">
        <f>'3.XT-C TT(CA2)'!K7</f>
        <v>0</v>
      </c>
      <c r="H148" s="155">
        <f>'3.XT-C TT(CA2)'!O7</f>
        <v>0</v>
      </c>
      <c r="I148" s="199">
        <f>'3.XT-C TT(CA2)'!S7</f>
        <v>0</v>
      </c>
    </row>
    <row r="149" spans="1:9" ht="21.75" hidden="1" customHeight="1">
      <c r="A149" s="3429">
        <v>2</v>
      </c>
      <c r="B149" s="3450" t="s">
        <v>138</v>
      </c>
      <c r="C149" s="234" t="s">
        <v>99</v>
      </c>
      <c r="D149" s="198">
        <f>'3.XT-C TT'!K8</f>
        <v>4.0334624999999358</v>
      </c>
      <c r="E149" s="155">
        <f>'3.XT-C TT'!O8</f>
        <v>0</v>
      </c>
      <c r="F149" s="155">
        <f>'3.XT-C TT'!S8</f>
        <v>0</v>
      </c>
      <c r="G149" s="155">
        <f>'3.XT-C TT(CA2)'!K8</f>
        <v>0</v>
      </c>
      <c r="H149" s="155">
        <f>'3.XT-C TT(CA2)'!O8</f>
        <v>0</v>
      </c>
      <c r="I149" s="199">
        <f>'3.XT-C TT(CA2)'!S8</f>
        <v>0</v>
      </c>
    </row>
    <row r="150" spans="1:9" ht="21.75" hidden="1" customHeight="1">
      <c r="A150" s="3449"/>
      <c r="B150" s="3452"/>
      <c r="C150" s="235" t="s">
        <v>100</v>
      </c>
      <c r="D150" s="198">
        <f>'3.XT-C TT'!K9</f>
        <v>1.3713772499999783</v>
      </c>
      <c r="E150" s="155">
        <f>'3.XT-C TT'!O9</f>
        <v>0</v>
      </c>
      <c r="F150" s="155">
        <f>'3.XT-C TT'!S9</f>
        <v>0</v>
      </c>
      <c r="G150" s="155">
        <f>'3.XT-C TT(CA2)'!K9</f>
        <v>0</v>
      </c>
      <c r="H150" s="155">
        <f>'3.XT-C TT(CA2)'!O9</f>
        <v>0</v>
      </c>
      <c r="I150" s="199">
        <f>'3.XT-C TT(CA2)'!S9</f>
        <v>0</v>
      </c>
    </row>
    <row r="151" spans="1:9" ht="21.75" hidden="1" customHeight="1">
      <c r="A151" s="3429">
        <v>3</v>
      </c>
      <c r="B151" s="3386" t="s">
        <v>139</v>
      </c>
      <c r="C151" s="234" t="s">
        <v>99</v>
      </c>
      <c r="D151" s="198">
        <f>'3.XT-C TT'!K10</f>
        <v>0</v>
      </c>
      <c r="E151" s="155">
        <f>'3.XT-C TT'!O10</f>
        <v>0</v>
      </c>
      <c r="F151" s="155">
        <f>'3.XT-C TT'!S10</f>
        <v>0</v>
      </c>
      <c r="G151" s="155">
        <f>'3.XT-C TT(CA2)'!K10</f>
        <v>0</v>
      </c>
      <c r="H151" s="155">
        <f>'3.XT-C TT(CA2)'!O10</f>
        <v>0</v>
      </c>
      <c r="I151" s="199">
        <f>'3.XT-C TT(CA2)'!S10</f>
        <v>0</v>
      </c>
    </row>
    <row r="152" spans="1:9" ht="21.75" hidden="1" customHeight="1">
      <c r="A152" s="3430"/>
      <c r="B152" s="3387"/>
      <c r="C152" s="235" t="s">
        <v>103</v>
      </c>
      <c r="D152" s="198">
        <f>'3.XT-C TT'!K11</f>
        <v>0</v>
      </c>
      <c r="E152" s="155">
        <f>'3.XT-C TT'!O11</f>
        <v>0</v>
      </c>
      <c r="F152" s="155">
        <f>'3.XT-C TT'!S11</f>
        <v>0</v>
      </c>
      <c r="G152" s="155">
        <f>'3.XT-C TT(CA2)'!K11</f>
        <v>0</v>
      </c>
      <c r="H152" s="155">
        <f>'3.XT-C TT(CA2)'!O11</f>
        <v>0</v>
      </c>
      <c r="I152" s="199">
        <f>'3.XT-C TT(CA2)'!S11</f>
        <v>0</v>
      </c>
    </row>
    <row r="153" spans="1:9" ht="21.75" hidden="1" customHeight="1">
      <c r="A153" s="3429">
        <v>4</v>
      </c>
      <c r="B153" s="3386" t="s">
        <v>140</v>
      </c>
      <c r="C153" s="234" t="s">
        <v>99</v>
      </c>
      <c r="D153" s="198">
        <f>'3.XT-C TT'!K12</f>
        <v>3.4845359999999475</v>
      </c>
      <c r="E153" s="155">
        <f>'3.XT-C TT'!O12</f>
        <v>0</v>
      </c>
      <c r="F153" s="155">
        <f>'3.XT-C TT'!S12</f>
        <v>0</v>
      </c>
      <c r="G153" s="155">
        <f>'3.XT-C TT(CA2)'!K12</f>
        <v>0</v>
      </c>
      <c r="H153" s="155">
        <f>'3.XT-C TT(CA2)'!O12</f>
        <v>0</v>
      </c>
      <c r="I153" s="199">
        <f>'3.XT-C TT(CA2)'!S12</f>
        <v>0</v>
      </c>
    </row>
    <row r="154" spans="1:9" ht="21.75" hidden="1" customHeight="1">
      <c r="A154" s="3430"/>
      <c r="B154" s="3387"/>
      <c r="C154" s="235" t="s">
        <v>103</v>
      </c>
      <c r="D154" s="198">
        <f>'3.XT-C TT'!K13</f>
        <v>1.1150515199999831</v>
      </c>
      <c r="E154" s="155">
        <f>'3.XT-C TT'!O13</f>
        <v>0</v>
      </c>
      <c r="F154" s="155">
        <f>'3.XT-C TT'!S13</f>
        <v>0</v>
      </c>
      <c r="G154" s="155">
        <f>'3.XT-C TT(CA2)'!K13</f>
        <v>0</v>
      </c>
      <c r="H154" s="155">
        <f>'3.XT-C TT(CA2)'!O13</f>
        <v>0</v>
      </c>
      <c r="I154" s="199">
        <f>'3.XT-C TT(CA2)'!S13</f>
        <v>0</v>
      </c>
    </row>
    <row r="155" spans="1:9" ht="21.75" hidden="1" customHeight="1">
      <c r="A155" s="3429">
        <v>5</v>
      </c>
      <c r="B155" s="3444" t="s">
        <v>112</v>
      </c>
      <c r="C155" s="236"/>
      <c r="D155" s="198">
        <f>'3.XT-C TT'!K14</f>
        <v>0</v>
      </c>
      <c r="E155" s="155">
        <f>'3.XT-C TT'!O14</f>
        <v>0</v>
      </c>
      <c r="F155" s="155">
        <f>'3.XT-C TT'!S14</f>
        <v>63.679199999999391</v>
      </c>
      <c r="G155" s="155">
        <f>'3.XT-C TT(CA2)'!K14</f>
        <v>0</v>
      </c>
      <c r="H155" s="155">
        <f>'3.XT-C TT(CA2)'!O14</f>
        <v>0</v>
      </c>
      <c r="I155" s="199">
        <f>'3.XT-C TT(CA2)'!S14</f>
        <v>0</v>
      </c>
    </row>
    <row r="156" spans="1:9" ht="21.75" hidden="1" customHeight="1">
      <c r="A156" s="3430"/>
      <c r="B156" s="3445"/>
      <c r="C156" s="236"/>
      <c r="D156" s="198">
        <f>'3.XT-C TT'!K15</f>
        <v>6.1025900000000108</v>
      </c>
      <c r="E156" s="155">
        <f>'3.XT-C TT'!O15</f>
        <v>6.1025900000000108</v>
      </c>
      <c r="F156" s="155">
        <f>'3.XT-C TT'!S15</f>
        <v>2.6532999999999434</v>
      </c>
      <c r="G156" s="155">
        <f>'3.XT-C TT(CA2)'!K15</f>
        <v>0</v>
      </c>
      <c r="H156" s="155">
        <f>'3.XT-C TT(CA2)'!O15</f>
        <v>0</v>
      </c>
      <c r="I156" s="199">
        <f>'3.XT-C TT(CA2)'!S15</f>
        <v>0</v>
      </c>
    </row>
    <row r="157" spans="1:9" ht="21.75" hidden="1" customHeight="1">
      <c r="A157" s="3429">
        <v>6</v>
      </c>
      <c r="B157" s="3435" t="s">
        <v>37</v>
      </c>
      <c r="C157" s="3436"/>
      <c r="D157" s="198">
        <f>'3.XT-C TT'!K16</f>
        <v>0</v>
      </c>
      <c r="E157" s="155">
        <f>'3.XT-C TT'!O16</f>
        <v>0</v>
      </c>
      <c r="F157" s="155">
        <f>'3.XT-C TT'!S16</f>
        <v>0</v>
      </c>
      <c r="G157" s="155">
        <f>'3.XT-C TT(CA2)'!K16</f>
        <v>0</v>
      </c>
      <c r="H157" s="155">
        <f>'3.XT-C TT(CA2)'!O16</f>
        <v>0</v>
      </c>
      <c r="I157" s="199">
        <f>'3.XT-C TT(CA2)'!S16</f>
        <v>0</v>
      </c>
    </row>
    <row r="158" spans="1:9" ht="21.75" hidden="1" customHeight="1">
      <c r="A158" s="3430"/>
      <c r="B158" s="3437"/>
      <c r="C158" s="3438"/>
      <c r="D158" s="198">
        <f>'3.XT-C TT'!K17</f>
        <v>0</v>
      </c>
      <c r="E158" s="155">
        <f>'3.XT-C TT'!O17</f>
        <v>0</v>
      </c>
      <c r="F158" s="155">
        <f>'3.XT-C TT'!S17</f>
        <v>0</v>
      </c>
      <c r="G158" s="155">
        <f>'3.XT-C TT(CA2)'!K17</f>
        <v>0</v>
      </c>
      <c r="H158" s="155">
        <f>'3.XT-C TT(CA2)'!O17</f>
        <v>0</v>
      </c>
      <c r="I158" s="199">
        <f>'3.XT-C TT(CA2)'!S17</f>
        <v>0</v>
      </c>
    </row>
    <row r="159" spans="1:9" ht="21.75" hidden="1" customHeight="1">
      <c r="A159" s="2662"/>
      <c r="B159" s="2663"/>
      <c r="C159" s="2664" t="s">
        <v>1591</v>
      </c>
      <c r="D159" s="198">
        <f>'3.XT-C TT'!K18</f>
        <v>201.11437500000002</v>
      </c>
      <c r="E159" s="155">
        <f>'3.XT-C TT'!O18</f>
        <v>0</v>
      </c>
      <c r="F159" s="155">
        <f>'3.XT-C TT'!S18</f>
        <v>0</v>
      </c>
      <c r="G159" s="155">
        <f>'3.XT-C TT(CA2)'!K18</f>
        <v>0</v>
      </c>
      <c r="H159" s="155">
        <f>'3.XT-C TT(CA2)'!O18</f>
        <v>0</v>
      </c>
      <c r="I159" s="199">
        <f>'3.XT-C TT(CA2)'!S18</f>
        <v>0</v>
      </c>
    </row>
    <row r="160" spans="1:9" ht="21.75" hidden="1" customHeight="1">
      <c r="A160" s="238">
        <v>7</v>
      </c>
      <c r="B160" s="3239" t="s">
        <v>1589</v>
      </c>
      <c r="C160" s="3240"/>
      <c r="D160" s="198">
        <f>'3.XT-C TT'!K19</f>
        <v>0</v>
      </c>
      <c r="E160" s="155">
        <f>'3.XT-C TT'!O19</f>
        <v>0</v>
      </c>
      <c r="F160" s="155">
        <f>'3.XT-C TT'!S19</f>
        <v>0</v>
      </c>
      <c r="G160" s="155">
        <f>'3.XT-C TT(CA2)'!K19</f>
        <v>0</v>
      </c>
      <c r="H160" s="155">
        <f>'3.XT-C TT(CA2)'!O19</f>
        <v>0</v>
      </c>
      <c r="I160" s="199">
        <f>'3.XT-C TT(CA2)'!S19</f>
        <v>0</v>
      </c>
    </row>
    <row r="161" spans="1:9" ht="21.75" hidden="1" customHeight="1">
      <c r="A161" s="2660"/>
      <c r="B161" s="3239" t="s">
        <v>1590</v>
      </c>
      <c r="C161" s="3240"/>
      <c r="D161" s="198">
        <f>'3.XT-C TT'!K20</f>
        <v>9.6628750000002412</v>
      </c>
      <c r="E161" s="155">
        <f>'3.XT-C TT'!O20</f>
        <v>0</v>
      </c>
      <c r="F161" s="155">
        <f>'3.XT-C TT'!S20</f>
        <v>0</v>
      </c>
      <c r="G161" s="155">
        <f>'3.XT-C TT(CA2)'!K20</f>
        <v>0</v>
      </c>
      <c r="H161" s="155">
        <f>'3.XT-C TT(CA2)'!O20</f>
        <v>0</v>
      </c>
      <c r="I161" s="199">
        <f>'3.XT-C TT(CA2)'!S20</f>
        <v>0</v>
      </c>
    </row>
    <row r="162" spans="1:9" ht="21.75" hidden="1" customHeight="1">
      <c r="A162" s="238">
        <v>8</v>
      </c>
      <c r="B162" s="3239" t="s">
        <v>36</v>
      </c>
      <c r="C162" s="3240"/>
      <c r="D162" s="198">
        <f>'3.XT-C TT'!K21</f>
        <v>0</v>
      </c>
      <c r="E162" s="155">
        <f>'3.XT-C TT'!O21</f>
        <v>0</v>
      </c>
      <c r="F162" s="155">
        <f>'3.XT-C TT'!S21</f>
        <v>0</v>
      </c>
      <c r="G162" s="155">
        <f>'3.XT-C TT(CA2)'!K20</f>
        <v>0</v>
      </c>
      <c r="H162" s="155">
        <f>'3.XT-C TT(CA2)'!O20</f>
        <v>0</v>
      </c>
      <c r="I162" s="199">
        <f>'3.XT-C TT(CA2)'!S20</f>
        <v>0</v>
      </c>
    </row>
    <row r="163" spans="1:9" ht="21.75" hidden="1" customHeight="1">
      <c r="A163" s="238">
        <v>10</v>
      </c>
      <c r="B163" s="3264" t="s">
        <v>111</v>
      </c>
      <c r="C163" s="3265" t="s">
        <v>111</v>
      </c>
      <c r="D163" s="198">
        <f>'3.XT-C TT'!K22</f>
        <v>0</v>
      </c>
      <c r="E163" s="155">
        <f>'3.XT-C TT'!O22</f>
        <v>0</v>
      </c>
      <c r="F163" s="155">
        <f>'3.XT-C TT'!S22</f>
        <v>0</v>
      </c>
      <c r="G163" s="155">
        <f>'3.XT-C TT(CA2)'!K22</f>
        <v>0</v>
      </c>
      <c r="H163" s="155">
        <f>'3.XT-C TT(CA2)'!O22</f>
        <v>0</v>
      </c>
      <c r="I163" s="199">
        <f>'3.XT-C TT(CA2)'!S22</f>
        <v>0</v>
      </c>
    </row>
    <row r="164" spans="1:9" ht="21.75" hidden="1" customHeight="1" thickBot="1">
      <c r="D164" s="200"/>
      <c r="E164" s="201"/>
      <c r="F164" s="201"/>
      <c r="G164" s="201"/>
      <c r="H164" s="201"/>
      <c r="I164" s="202"/>
    </row>
    <row r="165" spans="1:9" ht="21.75" hidden="1" customHeight="1">
      <c r="D165" s="180"/>
      <c r="E165" s="181"/>
      <c r="F165" s="181"/>
      <c r="G165" s="181"/>
      <c r="H165" s="181"/>
      <c r="I165" s="182"/>
    </row>
    <row r="166" spans="1:9" ht="21.75" hidden="1" customHeight="1">
      <c r="A166" s="1538"/>
      <c r="B166" s="1539"/>
      <c r="C166" s="1558" t="s">
        <v>1376</v>
      </c>
      <c r="D166" s="1559" t="s">
        <v>1383</v>
      </c>
      <c r="E166" s="1560" t="s">
        <v>1384</v>
      </c>
      <c r="F166" s="133"/>
      <c r="G166" s="133"/>
      <c r="H166" s="133"/>
      <c r="I166" s="186"/>
    </row>
    <row r="167" spans="1:9" ht="21.75" hidden="1" customHeight="1">
      <c r="A167" s="1556" t="s">
        <v>1375</v>
      </c>
      <c r="B167" s="1557"/>
      <c r="C167" s="1561"/>
      <c r="D167" s="1562"/>
      <c r="E167" s="1563"/>
      <c r="F167" s="133"/>
      <c r="G167" s="133"/>
      <c r="H167" s="133"/>
      <c r="I167" s="186"/>
    </row>
    <row r="168" spans="1:9" ht="21.75" hidden="1" customHeight="1">
      <c r="A168" s="3386" t="s">
        <v>1370</v>
      </c>
      <c r="B168" s="3387"/>
      <c r="C168" s="1553" t="s">
        <v>229</v>
      </c>
      <c r="D168" s="1564">
        <f>'BS-XT'!AL6</f>
        <v>30.630557999999947</v>
      </c>
      <c r="E168" s="1564">
        <f>'BS-XT'!AM6</f>
        <v>25</v>
      </c>
      <c r="F168" s="133"/>
      <c r="G168" s="133"/>
      <c r="H168" s="133"/>
      <c r="I168" s="186"/>
    </row>
    <row r="169" spans="1:9" ht="21.75" hidden="1" customHeight="1">
      <c r="A169" s="3387"/>
      <c r="B169" s="3387"/>
      <c r="C169" s="1553" t="s">
        <v>230</v>
      </c>
      <c r="D169" s="1564">
        <f>'BS-XT'!AL7</f>
        <v>10.414389719999981</v>
      </c>
      <c r="E169" s="1564">
        <f>'BS-XT'!AM7</f>
        <v>9</v>
      </c>
      <c r="F169" s="133"/>
      <c r="G169" s="133"/>
      <c r="H169" s="133"/>
      <c r="I169" s="186"/>
    </row>
    <row r="170" spans="1:9" ht="21.75" hidden="1" customHeight="1">
      <c r="A170" s="3386" t="s">
        <v>1369</v>
      </c>
      <c r="B170" s="3387"/>
      <c r="C170" s="1553" t="s">
        <v>229</v>
      </c>
      <c r="D170" s="1564">
        <f>'BS-XT'!AL8</f>
        <v>4.0334624999999358</v>
      </c>
      <c r="E170" s="1564">
        <f>'BS-XT'!AM8</f>
        <v>0</v>
      </c>
      <c r="F170" s="133"/>
      <c r="G170" s="133"/>
      <c r="H170" s="133"/>
      <c r="I170" s="186"/>
    </row>
    <row r="171" spans="1:9" ht="21.75" hidden="1" customHeight="1">
      <c r="A171" s="3387"/>
      <c r="B171" s="3387"/>
      <c r="C171" s="1553" t="s">
        <v>230</v>
      </c>
      <c r="D171" s="1564">
        <f>'BS-XT'!AL9</f>
        <v>1.3713772499999783</v>
      </c>
      <c r="E171" s="1564">
        <f>'BS-XT'!AM9</f>
        <v>0</v>
      </c>
      <c r="F171" s="133"/>
      <c r="G171" s="133"/>
      <c r="H171" s="133"/>
      <c r="I171" s="186"/>
    </row>
    <row r="172" spans="1:9" ht="21.75" hidden="1" customHeight="1">
      <c r="A172" s="3386" t="s">
        <v>1368</v>
      </c>
      <c r="B172" s="3387"/>
      <c r="C172" s="1554" t="s">
        <v>231</v>
      </c>
      <c r="D172" s="1564">
        <f>'BS-XT'!AL10</f>
        <v>0</v>
      </c>
      <c r="E172" s="1564">
        <f>'BS-XT'!AM10</f>
        <v>3</v>
      </c>
      <c r="F172" s="133"/>
      <c r="G172" s="133"/>
      <c r="H172" s="133"/>
      <c r="I172" s="186"/>
    </row>
    <row r="173" spans="1:9" ht="21.75" hidden="1" customHeight="1">
      <c r="A173" s="3387"/>
      <c r="B173" s="3387"/>
      <c r="C173" s="1554" t="s">
        <v>232</v>
      </c>
      <c r="D173" s="1564">
        <f>'BS-XT'!AL11</f>
        <v>0</v>
      </c>
      <c r="E173" s="1564">
        <f>'BS-XT'!AM11</f>
        <v>1</v>
      </c>
      <c r="F173" s="133"/>
      <c r="G173" s="133"/>
      <c r="H173" s="133"/>
      <c r="I173" s="186"/>
    </row>
    <row r="174" spans="1:9" ht="21.75" hidden="1" customHeight="1">
      <c r="A174" s="3386" t="s">
        <v>140</v>
      </c>
      <c r="B174" s="3387"/>
      <c r="C174" s="1554" t="s">
        <v>231</v>
      </c>
      <c r="D174" s="1564">
        <f>'BS-XT'!AL12</f>
        <v>3.4845359999999475</v>
      </c>
      <c r="E174" s="1564">
        <f>'BS-XT'!AM12</f>
        <v>0</v>
      </c>
      <c r="F174" s="133"/>
      <c r="G174" s="133"/>
      <c r="H174" s="133"/>
      <c r="I174" s="186"/>
    </row>
    <row r="175" spans="1:9" ht="21.75" hidden="1" customHeight="1">
      <c r="A175" s="3387"/>
      <c r="B175" s="3387"/>
      <c r="C175" s="1554" t="s">
        <v>232</v>
      </c>
      <c r="D175" s="1564">
        <f>'BS-XT'!AL13</f>
        <v>1.1150515199999831</v>
      </c>
      <c r="E175" s="1564">
        <f>'BS-XT'!AM13</f>
        <v>0</v>
      </c>
      <c r="F175" s="133"/>
      <c r="G175" s="133"/>
      <c r="H175" s="133"/>
      <c r="I175" s="186"/>
    </row>
    <row r="176" spans="1:9" ht="21.75" hidden="1" customHeight="1">
      <c r="A176" s="3216" t="s">
        <v>1367</v>
      </c>
      <c r="B176" s="3441" t="s">
        <v>1366</v>
      </c>
      <c r="C176" s="3442"/>
      <c r="D176" s="1564">
        <f>'BS-XT'!AL14</f>
        <v>63.679199999999391</v>
      </c>
      <c r="E176" s="1564">
        <f>'BS-XT'!AM14</f>
        <v>0</v>
      </c>
      <c r="F176" s="133"/>
      <c r="G176" s="133"/>
      <c r="H176" s="133"/>
      <c r="I176" s="186"/>
    </row>
    <row r="177" spans="1:9" ht="21.75" hidden="1" customHeight="1">
      <c r="A177" s="3520"/>
      <c r="B177" s="3441" t="s">
        <v>1365</v>
      </c>
      <c r="C177" s="3442"/>
      <c r="D177" s="1564">
        <f>'BS-XT'!AL15</f>
        <v>14.858479999999965</v>
      </c>
      <c r="E177" s="1564">
        <f>'BS-XT'!AM15</f>
        <v>0</v>
      </c>
      <c r="F177" s="133"/>
      <c r="G177" s="133"/>
      <c r="H177" s="133"/>
      <c r="I177" s="186"/>
    </row>
    <row r="178" spans="1:9" ht="21.75" hidden="1" customHeight="1">
      <c r="A178" s="3450" t="s">
        <v>1364</v>
      </c>
      <c r="B178" s="3519"/>
      <c r="C178" s="3519"/>
      <c r="D178" s="1564">
        <f>'BS-XT'!AL16</f>
        <v>0</v>
      </c>
      <c r="E178" s="1564">
        <f>'BS-XT'!AM16</f>
        <v>0</v>
      </c>
      <c r="F178" s="133"/>
      <c r="G178" s="133"/>
      <c r="H178" s="133"/>
      <c r="I178" s="186"/>
    </row>
    <row r="179" spans="1:9" ht="21.75" hidden="1" customHeight="1">
      <c r="A179" s="3432" t="s">
        <v>1363</v>
      </c>
      <c r="B179" s="3433"/>
      <c r="C179" s="3433"/>
      <c r="D179" s="1564">
        <f>'BS-XT'!AL17</f>
        <v>0</v>
      </c>
      <c r="E179" s="1564">
        <f>'BS-XT'!AM17</f>
        <v>0</v>
      </c>
      <c r="F179" s="133"/>
      <c r="G179" s="133"/>
      <c r="H179" s="133"/>
      <c r="I179" s="186"/>
    </row>
    <row r="180" spans="1:9" ht="21.75" hidden="1" customHeight="1">
      <c r="A180" s="3432" t="s">
        <v>1362</v>
      </c>
      <c r="B180" s="3433"/>
      <c r="C180" s="3433"/>
      <c r="D180" s="1564">
        <f>'BS-XT'!AL18</f>
        <v>0</v>
      </c>
      <c r="E180" s="1564">
        <f>'BS-XT'!AM18</f>
        <v>0</v>
      </c>
      <c r="F180" s="133"/>
      <c r="G180" s="133"/>
      <c r="H180" s="133"/>
      <c r="I180" s="186"/>
    </row>
    <row r="181" spans="1:9" ht="21.75" hidden="1" customHeight="1">
      <c r="A181" s="3432" t="s">
        <v>1361</v>
      </c>
      <c r="B181" s="3433"/>
      <c r="C181" s="3433"/>
      <c r="D181" s="1564">
        <f>'BS-XT'!AL19</f>
        <v>0</v>
      </c>
      <c r="E181" s="1564">
        <f>'BS-XT'!AM19</f>
        <v>0</v>
      </c>
      <c r="F181" s="133"/>
      <c r="G181" s="133"/>
      <c r="H181" s="133"/>
      <c r="I181" s="186"/>
    </row>
    <row r="182" spans="1:9" ht="21.75" hidden="1" customHeight="1">
      <c r="A182" s="3432" t="s">
        <v>1360</v>
      </c>
      <c r="B182" s="3433" t="s">
        <v>970</v>
      </c>
      <c r="C182" s="3433" t="s">
        <v>970</v>
      </c>
      <c r="D182" s="1564" t="e">
        <f>'BS-XT'!AL20</f>
        <v>#REF!</v>
      </c>
      <c r="E182" s="1564" t="e">
        <f>'BS-XT'!AM20</f>
        <v>#REF!</v>
      </c>
      <c r="F182" s="133"/>
      <c r="G182" s="133"/>
      <c r="H182" s="133"/>
      <c r="I182" s="186"/>
    </row>
    <row r="183" spans="1:9" ht="21.75" hidden="1" customHeight="1">
      <c r="A183" s="3143" t="s">
        <v>1359</v>
      </c>
      <c r="B183" s="3144"/>
      <c r="C183" s="3144"/>
      <c r="D183" s="1564">
        <f>'BS-XT'!AL21</f>
        <v>0</v>
      </c>
      <c r="E183" s="1564">
        <f>'BS-XT'!AM21</f>
        <v>0</v>
      </c>
      <c r="F183" s="133"/>
      <c r="G183" s="133"/>
      <c r="H183" s="133"/>
      <c r="I183" s="186"/>
    </row>
    <row r="184" spans="1:9" ht="21.75" hidden="1" customHeight="1">
      <c r="A184" s="3517" t="s">
        <v>1358</v>
      </c>
      <c r="B184" s="3518"/>
      <c r="C184" s="3518"/>
      <c r="D184" s="1564">
        <f>'BS-XT'!AL22</f>
        <v>0</v>
      </c>
      <c r="E184" s="1564">
        <f>'BS-XT'!AM22</f>
        <v>0</v>
      </c>
      <c r="F184" s="133"/>
      <c r="G184" s="133"/>
      <c r="H184" s="133"/>
      <c r="I184" s="186"/>
    </row>
    <row r="185" spans="1:9" ht="21.75" hidden="1" customHeight="1">
      <c r="A185" s="3471" t="s">
        <v>1357</v>
      </c>
      <c r="B185" s="3472"/>
      <c r="C185" s="1555" t="s">
        <v>115</v>
      </c>
      <c r="D185" s="1564" t="e">
        <f>'BS-XT'!AL23</f>
        <v>#VALUE!</v>
      </c>
      <c r="E185" s="1564">
        <f>'BS-XT'!AM23</f>
        <v>0</v>
      </c>
      <c r="F185" s="133"/>
      <c r="G185" s="133"/>
      <c r="H185" s="133"/>
      <c r="I185" s="186"/>
    </row>
    <row r="186" spans="1:9" ht="21.75" hidden="1" customHeight="1">
      <c r="A186" s="3473"/>
      <c r="B186" s="3474"/>
      <c r="C186" s="1555" t="s">
        <v>99</v>
      </c>
      <c r="D186" s="1564" t="e">
        <f>'BS-XT'!AL24</f>
        <v>#VALUE!</v>
      </c>
      <c r="E186" s="1564">
        <f>'BS-XT'!AM24</f>
        <v>0</v>
      </c>
      <c r="F186" s="133"/>
      <c r="G186" s="133"/>
      <c r="H186" s="133"/>
      <c r="I186" s="186"/>
    </row>
    <row r="187" spans="1:9" ht="21.75" hidden="1" customHeight="1">
      <c r="A187" s="3256" t="s">
        <v>1356</v>
      </c>
      <c r="B187" s="3369"/>
      <c r="C187" s="3369"/>
      <c r="D187" s="1564">
        <f>'BS-XT'!AL25</f>
        <v>0</v>
      </c>
      <c r="E187" s="1564">
        <f>'BS-XT'!AM25</f>
        <v>0</v>
      </c>
      <c r="F187" s="133"/>
      <c r="G187" s="133"/>
      <c r="H187" s="133"/>
      <c r="I187" s="186"/>
    </row>
    <row r="188" spans="1:9" ht="21.75" customHeight="1" thickBot="1">
      <c r="D188" s="200"/>
      <c r="E188" s="201"/>
      <c r="F188" s="201"/>
      <c r="G188" s="201"/>
      <c r="H188" s="201"/>
      <c r="I188" s="202"/>
    </row>
  </sheetData>
  <mergeCells count="105">
    <mergeCell ref="C1:F1"/>
    <mergeCell ref="A183:C183"/>
    <mergeCell ref="A184:C184"/>
    <mergeCell ref="A185:B186"/>
    <mergeCell ref="A187:C187"/>
    <mergeCell ref="A178:C178"/>
    <mergeCell ref="A179:C179"/>
    <mergeCell ref="A180:C180"/>
    <mergeCell ref="A181:C181"/>
    <mergeCell ref="A182:C182"/>
    <mergeCell ref="A168:B169"/>
    <mergeCell ref="A170:B171"/>
    <mergeCell ref="A172:B173"/>
    <mergeCell ref="A174:B175"/>
    <mergeCell ref="A176:A177"/>
    <mergeCell ref="B176:C176"/>
    <mergeCell ref="B177:C177"/>
    <mergeCell ref="B163:C163"/>
    <mergeCell ref="A151:A152"/>
    <mergeCell ref="B151:B152"/>
    <mergeCell ref="A153:A154"/>
    <mergeCell ref="B153:B154"/>
    <mergeCell ref="A155:A156"/>
    <mergeCell ref="B155:B156"/>
    <mergeCell ref="A157:A158"/>
    <mergeCell ref="B157:C158"/>
    <mergeCell ref="B160:C160"/>
    <mergeCell ref="B162:C162"/>
    <mergeCell ref="B161:C161"/>
    <mergeCell ref="B143:C143"/>
    <mergeCell ref="B144:C144"/>
    <mergeCell ref="A147:A148"/>
    <mergeCell ref="B147:B148"/>
    <mergeCell ref="A149:A150"/>
    <mergeCell ref="B149:B150"/>
    <mergeCell ref="B140:C140"/>
    <mergeCell ref="B127:C127"/>
    <mergeCell ref="B129:C129"/>
    <mergeCell ref="B130:C130"/>
    <mergeCell ref="B133:C133"/>
    <mergeCell ref="B134:C134"/>
    <mergeCell ref="B135:C135"/>
    <mergeCell ref="B136:C136"/>
    <mergeCell ref="B137:C137"/>
    <mergeCell ref="B138:C138"/>
    <mergeCell ref="B139:C139"/>
    <mergeCell ref="B128:C12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7"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0" customWidth="1"/>
    <col min="3" max="3" width="3.375" style="30" customWidth="1"/>
    <col min="4" max="4" width="11" style="30" customWidth="1"/>
    <col min="5" max="5" width="5.5" style="30" customWidth="1"/>
    <col min="6" max="6" width="6.375" style="30" customWidth="1"/>
    <col min="7" max="7" width="9.25" style="7" customWidth="1"/>
    <col min="8" max="8" width="9.25" style="1653" customWidth="1"/>
    <col min="9" max="9" width="9.25" style="1646" customWidth="1"/>
    <col min="10" max="12" width="9.25" style="7" customWidth="1"/>
    <col min="13" max="13" width="9.25" style="1653" customWidth="1"/>
    <col min="14" max="14" width="9.25" style="1646" customWidth="1"/>
    <col min="15" max="17" width="9.25" style="7" customWidth="1"/>
    <col min="18" max="18" width="9.25" style="1653" customWidth="1"/>
    <col min="19" max="19" width="9.25" style="1646" customWidth="1"/>
    <col min="20" max="21" width="9.25" style="8" customWidth="1"/>
    <col min="22" max="22" width="9.25" style="7" customWidth="1"/>
    <col min="23" max="23" width="9.25" style="1653" customWidth="1"/>
    <col min="24" max="24" width="9.25" style="1646" customWidth="1"/>
    <col min="25" max="27" width="9.25" style="7" customWidth="1"/>
    <col min="28" max="28" width="9.25" style="1653" customWidth="1"/>
    <col min="29" max="29" width="9.25" style="1646" customWidth="1"/>
    <col min="30" max="32" width="9.25" style="7" customWidth="1"/>
    <col min="33" max="33" width="9.25" style="1653" customWidth="1"/>
    <col min="34" max="34" width="9.25" style="1646" customWidth="1"/>
    <col min="35" max="36" width="9.25" style="8" customWidth="1"/>
    <col min="37" max="37" width="5.375" style="61" customWidth="1"/>
    <col min="38" max="38" width="12.625" style="1534" customWidth="1"/>
    <col min="39" max="39" width="8.125" style="1534" customWidth="1"/>
    <col min="40" max="16384" width="9" style="8"/>
  </cols>
  <sheetData>
    <row r="1" spans="1:39" ht="28.5" customHeight="1">
      <c r="A1" s="1540" t="s">
        <v>134</v>
      </c>
      <c r="B1" s="1540"/>
      <c r="C1" s="1540"/>
      <c r="D1" s="1540"/>
      <c r="E1" s="1540"/>
      <c r="F1" s="1540"/>
      <c r="G1" s="1540"/>
      <c r="H1" s="1647"/>
      <c r="I1" s="1640"/>
      <c r="J1" s="1638"/>
      <c r="K1" s="1540"/>
      <c r="L1" s="1540"/>
      <c r="M1" s="1647"/>
      <c r="N1" s="1640"/>
      <c r="O1" s="1540"/>
      <c r="P1" s="1540"/>
      <c r="Q1" s="1540"/>
      <c r="R1" s="1647"/>
      <c r="S1" s="1640"/>
      <c r="T1" s="1540"/>
      <c r="U1" s="1540"/>
      <c r="V1" s="1540"/>
      <c r="W1" s="1647"/>
      <c r="X1" s="1640"/>
      <c r="Y1" s="1540"/>
      <c r="Z1" s="1540"/>
      <c r="AA1" s="1540"/>
      <c r="AB1" s="1647"/>
      <c r="AC1" s="1640"/>
      <c r="AD1" s="1540"/>
      <c r="AE1" s="1540"/>
      <c r="AF1" s="1540"/>
      <c r="AG1" s="1647"/>
      <c r="AH1" s="1640"/>
      <c r="AI1" s="1540"/>
      <c r="AJ1" s="1540"/>
      <c r="AK1" s="1530"/>
    </row>
    <row r="2" spans="1:39" ht="21" customHeight="1">
      <c r="A2" s="1541" t="s">
        <v>1377</v>
      </c>
      <c r="B2" s="1541"/>
      <c r="C2" s="1541"/>
      <c r="D2" s="1541"/>
      <c r="E2" s="1541"/>
      <c r="F2" s="1541"/>
      <c r="G2" s="1541"/>
      <c r="H2" s="1648"/>
      <c r="I2" s="1641"/>
      <c r="J2" s="1639"/>
      <c r="K2" s="1541"/>
      <c r="L2" s="1541"/>
      <c r="M2" s="1648"/>
      <c r="N2" s="1641"/>
      <c r="O2" s="1541"/>
      <c r="P2" s="1541"/>
      <c r="Q2" s="1541"/>
      <c r="R2" s="1648"/>
      <c r="S2" s="1641"/>
      <c r="T2" s="1541"/>
      <c r="U2" s="1541"/>
      <c r="V2" s="1541"/>
      <c r="W2" s="1648"/>
      <c r="X2" s="1641"/>
      <c r="Y2" s="1541"/>
      <c r="Z2" s="1541"/>
      <c r="AA2" s="1541"/>
      <c r="AB2" s="1648"/>
      <c r="AC2" s="1641"/>
      <c r="AD2" s="1541"/>
      <c r="AE2" s="1541"/>
      <c r="AF2" s="1541"/>
      <c r="AG2" s="1648"/>
      <c r="AH2" s="1641"/>
      <c r="AI2" s="1541"/>
      <c r="AJ2" s="1541"/>
      <c r="AK2" s="1528"/>
    </row>
    <row r="3" spans="1:39" ht="24.75" customHeight="1">
      <c r="A3" s="1526"/>
      <c r="B3" s="3534" t="str">
        <f>MENU!AD9</f>
        <v>2024/08/01</v>
      </c>
      <c r="C3" s="3534"/>
      <c r="D3" s="3534"/>
      <c r="E3" s="3534"/>
      <c r="F3" s="1527"/>
      <c r="H3" s="1655"/>
      <c r="I3" s="1525"/>
      <c r="J3" s="28"/>
      <c r="K3" s="28"/>
      <c r="L3" s="28"/>
      <c r="M3" s="1654"/>
      <c r="N3" s="1643"/>
      <c r="O3" s="28"/>
      <c r="P3" s="28"/>
      <c r="Q3" s="1524"/>
      <c r="R3" s="1649"/>
      <c r="W3" s="1655"/>
      <c r="X3" s="1642"/>
      <c r="Y3" s="28"/>
      <c r="Z3" s="28"/>
      <c r="AA3" s="28"/>
      <c r="AB3" s="1654"/>
      <c r="AC3" s="1643"/>
      <c r="AD3" s="28"/>
      <c r="AE3" s="28"/>
      <c r="AF3" s="1524"/>
      <c r="AG3" s="1649"/>
    </row>
    <row r="4" spans="1:39" s="61" customFormat="1" ht="24.75" customHeight="1">
      <c r="A4" s="3528" t="s">
        <v>7</v>
      </c>
      <c r="B4" s="1538"/>
      <c r="C4" s="1539"/>
      <c r="D4" s="3531" t="s">
        <v>1376</v>
      </c>
      <c r="E4" s="3386" t="s">
        <v>1379</v>
      </c>
      <c r="F4" s="3386" t="s">
        <v>1380</v>
      </c>
      <c r="G4" s="3198">
        <v>0.26041666666666669</v>
      </c>
      <c r="H4" s="3201"/>
      <c r="I4" s="3201"/>
      <c r="J4" s="3201"/>
      <c r="K4" s="3365"/>
      <c r="L4" s="3198">
        <v>0.42708333333333331</v>
      </c>
      <c r="M4" s="3201"/>
      <c r="N4" s="3201"/>
      <c r="O4" s="3201"/>
      <c r="P4" s="3201"/>
      <c r="Q4" s="3533">
        <v>0.59375</v>
      </c>
      <c r="R4" s="3533"/>
      <c r="S4" s="3533"/>
      <c r="T4" s="3533"/>
      <c r="U4" s="3533"/>
      <c r="V4" s="3198">
        <v>0.76041666666666663</v>
      </c>
      <c r="W4" s="3201"/>
      <c r="X4" s="3201"/>
      <c r="Y4" s="3201"/>
      <c r="Z4" s="3365"/>
      <c r="AA4" s="3198">
        <v>0.92708333333333337</v>
      </c>
      <c r="AB4" s="3201"/>
      <c r="AC4" s="3201"/>
      <c r="AD4" s="3201"/>
      <c r="AE4" s="3201"/>
      <c r="AF4" s="3533">
        <v>9.375E-2</v>
      </c>
      <c r="AG4" s="3533"/>
      <c r="AH4" s="3533"/>
      <c r="AI4" s="3533"/>
      <c r="AJ4" s="3533"/>
      <c r="AK4" s="1529"/>
      <c r="AL4" s="1535"/>
      <c r="AM4" s="1535"/>
    </row>
    <row r="5" spans="1:39" s="61" customFormat="1" ht="87" customHeight="1">
      <c r="A5" s="3528"/>
      <c r="B5" s="3529" t="s">
        <v>1375</v>
      </c>
      <c r="C5" s="3530"/>
      <c r="D5" s="3532"/>
      <c r="E5" s="3386"/>
      <c r="F5" s="3386"/>
      <c r="G5" s="1521" t="s">
        <v>1374</v>
      </c>
      <c r="H5" s="1650" t="s">
        <v>1382</v>
      </c>
      <c r="I5" s="1644" t="s">
        <v>1373</v>
      </c>
      <c r="J5" s="1523" t="s">
        <v>1372</v>
      </c>
      <c r="K5" s="1522" t="s">
        <v>1371</v>
      </c>
      <c r="L5" s="1521" t="s">
        <v>1374</v>
      </c>
      <c r="M5" s="1650" t="s">
        <v>1382</v>
      </c>
      <c r="N5" s="1644" t="s">
        <v>1373</v>
      </c>
      <c r="O5" s="1523" t="s">
        <v>1372</v>
      </c>
      <c r="P5" s="1522" t="s">
        <v>1371</v>
      </c>
      <c r="Q5" s="1521" t="s">
        <v>1374</v>
      </c>
      <c r="R5" s="1650" t="s">
        <v>1382</v>
      </c>
      <c r="S5" s="1644" t="s">
        <v>1373</v>
      </c>
      <c r="T5" s="1523" t="s">
        <v>1372</v>
      </c>
      <c r="U5" s="1522" t="s">
        <v>1371</v>
      </c>
      <c r="V5" s="1521" t="s">
        <v>1374</v>
      </c>
      <c r="W5" s="1650" t="s">
        <v>1382</v>
      </c>
      <c r="X5" s="1644" t="s">
        <v>1373</v>
      </c>
      <c r="Y5" s="1523" t="s">
        <v>1372</v>
      </c>
      <c r="Z5" s="1522" t="s">
        <v>1371</v>
      </c>
      <c r="AA5" s="1521" t="s">
        <v>1374</v>
      </c>
      <c r="AB5" s="1650" t="s">
        <v>1382</v>
      </c>
      <c r="AC5" s="1644" t="s">
        <v>1373</v>
      </c>
      <c r="AD5" s="1523" t="s">
        <v>1372</v>
      </c>
      <c r="AE5" s="1522" t="s">
        <v>1371</v>
      </c>
      <c r="AF5" s="1521" t="s">
        <v>1374</v>
      </c>
      <c r="AG5" s="1650" t="s">
        <v>1382</v>
      </c>
      <c r="AH5" s="1644" t="s">
        <v>1373</v>
      </c>
      <c r="AI5" s="1523" t="s">
        <v>1372</v>
      </c>
      <c r="AJ5" s="1522" t="s">
        <v>1371</v>
      </c>
      <c r="AK5" s="1531"/>
      <c r="AL5" s="1537" t="s">
        <v>1383</v>
      </c>
      <c r="AM5" s="1537" t="s">
        <v>1384</v>
      </c>
    </row>
    <row r="6" spans="1:39" ht="23.25" customHeight="1">
      <c r="A6" s="1455">
        <v>1</v>
      </c>
      <c r="B6" s="3386" t="s">
        <v>1370</v>
      </c>
      <c r="C6" s="3387"/>
      <c r="D6" s="1516" t="s">
        <v>229</v>
      </c>
      <c r="E6" s="1515" t="s">
        <v>4</v>
      </c>
      <c r="F6" s="1516" t="s">
        <v>1281</v>
      </c>
      <c r="G6" s="1628">
        <f>'3.XT-C TT'!I6</f>
        <v>48.026000000000003</v>
      </c>
      <c r="H6" s="1651">
        <f>'3.XT-C TT'!K6</f>
        <v>30.630557999999947</v>
      </c>
      <c r="I6" s="1645">
        <f>'3.XT-C TT'!AB6</f>
        <v>25</v>
      </c>
      <c r="J6" s="1628">
        <f>'3.XT-C TT'!AD6</f>
        <v>50.9465</v>
      </c>
      <c r="K6" s="1519"/>
      <c r="L6" s="1628">
        <f>'3.XT-C TT'!M6</f>
        <v>50.9465</v>
      </c>
      <c r="M6" s="1651">
        <f>'3.XT-C TT'!O6</f>
        <v>0</v>
      </c>
      <c r="N6" s="1645">
        <f>'3.XT-C TT'!AF6</f>
        <v>0</v>
      </c>
      <c r="O6" s="1628">
        <f>'3.XT-C TT'!AH6</f>
        <v>0</v>
      </c>
      <c r="P6" s="1519"/>
      <c r="Q6" s="1628">
        <f>'3.XT-C TT'!Q6</f>
        <v>51.271000000000001</v>
      </c>
      <c r="R6" s="1651">
        <f>'3.XT-C TT'!S6</f>
        <v>0</v>
      </c>
      <c r="S6" s="1645">
        <f>'3.XT-C TT'!AJ6</f>
        <v>0</v>
      </c>
      <c r="T6" s="1628">
        <f>'3.XT-C TT'!AL6</f>
        <v>0</v>
      </c>
      <c r="U6" s="1519"/>
      <c r="V6" s="1628">
        <f>'3.XT-C TT(CA2)'!I6</f>
        <v>0</v>
      </c>
      <c r="W6" s="1651">
        <f>'3.XT-C TT(CA2)'!K6</f>
        <v>0</v>
      </c>
      <c r="X6" s="1645">
        <f>'3.XT-C TT(CA2)'!AB6</f>
        <v>0</v>
      </c>
      <c r="Y6" s="1628">
        <f>'3.XT-C TT(CA2)'!AD6</f>
        <v>0</v>
      </c>
      <c r="Z6" s="1628"/>
      <c r="AA6" s="1628">
        <f>'3.XT-C TT(CA2)'!M6</f>
        <v>0</v>
      </c>
      <c r="AB6" s="1651">
        <f>'3.XT-C TT(CA2)'!O6</f>
        <v>0</v>
      </c>
      <c r="AC6" s="1645">
        <f>'3.XT-C TT(CA2)'!AF6</f>
        <v>0</v>
      </c>
      <c r="AD6" s="1628">
        <f>'3.XT-C TT(CA2)'!AH6</f>
        <v>0</v>
      </c>
      <c r="AE6" s="1628"/>
      <c r="AF6" s="1628">
        <f>'3.XT-C TT(CA2)'!Q6</f>
        <v>0</v>
      </c>
      <c r="AG6" s="1651">
        <f>'3.XT-C TT(CA2)'!S6</f>
        <v>0</v>
      </c>
      <c r="AH6" s="1645">
        <f>'3.XT-C TT(CA2)'!AJ6</f>
        <v>0</v>
      </c>
      <c r="AI6" s="1628">
        <f>'3.XT-C TT(CA2)'!AL6</f>
        <v>0</v>
      </c>
      <c r="AJ6" s="1519"/>
      <c r="AK6" s="1532"/>
      <c r="AL6" s="1536">
        <f>H6+M6+R6+W6+AB6+AG6</f>
        <v>30.630557999999947</v>
      </c>
      <c r="AM6" s="1536">
        <f>I6+N6+S6+X6+AC6+AH6</f>
        <v>25</v>
      </c>
    </row>
    <row r="7" spans="1:39" ht="23.25" customHeight="1">
      <c r="A7" s="1455">
        <v>2</v>
      </c>
      <c r="B7" s="3387"/>
      <c r="C7" s="3387"/>
      <c r="D7" s="1516" t="s">
        <v>230</v>
      </c>
      <c r="E7" s="1004"/>
      <c r="F7" s="1516" t="s">
        <v>10</v>
      </c>
      <c r="G7" s="1628">
        <f>'3.XT-C TT'!I7</f>
        <v>0</v>
      </c>
      <c r="H7" s="1651">
        <f>'3.XT-C TT'!K7</f>
        <v>10.414389719999981</v>
      </c>
      <c r="I7" s="1645">
        <f>'3.XT-C TT'!AB7</f>
        <v>9</v>
      </c>
      <c r="J7" s="1628">
        <f>'3.XT-C TT'!AD7</f>
        <v>0</v>
      </c>
      <c r="K7" s="1519"/>
      <c r="L7" s="1628">
        <f>'3.XT-C TT'!M7</f>
        <v>0</v>
      </c>
      <c r="M7" s="1651">
        <f>'3.XT-C TT'!O7</f>
        <v>0</v>
      </c>
      <c r="N7" s="1645">
        <f>'3.XT-C TT'!AF7</f>
        <v>0</v>
      </c>
      <c r="O7" s="1628">
        <f>'3.XT-C TT'!AH7</f>
        <v>0</v>
      </c>
      <c r="P7" s="1519"/>
      <c r="Q7" s="1628">
        <f>'3.XT-C TT'!Q7</f>
        <v>0</v>
      </c>
      <c r="R7" s="1651">
        <f>'3.XT-C TT'!S7</f>
        <v>0</v>
      </c>
      <c r="S7" s="1645">
        <f>'3.XT-C TT'!AJ7</f>
        <v>0</v>
      </c>
      <c r="T7" s="1628">
        <f>'3.XT-C TT'!AL7</f>
        <v>0</v>
      </c>
      <c r="U7" s="1519"/>
      <c r="V7" s="1628">
        <f>'3.XT-C TT(CA2)'!I7</f>
        <v>0</v>
      </c>
      <c r="W7" s="1651">
        <f>'3.XT-C TT(CA2)'!K7</f>
        <v>0</v>
      </c>
      <c r="X7" s="1645">
        <f>'3.XT-C TT(CA2)'!AB7</f>
        <v>0</v>
      </c>
      <c r="Y7" s="1628">
        <f>'3.XT-C TT(CA2)'!AD7</f>
        <v>0</v>
      </c>
      <c r="Z7" s="1628"/>
      <c r="AA7" s="1628">
        <f>'3.XT-C TT(CA2)'!M7</f>
        <v>0</v>
      </c>
      <c r="AB7" s="1651">
        <f>'3.XT-C TT(CA2)'!O7</f>
        <v>0</v>
      </c>
      <c r="AC7" s="1645">
        <f>'3.XT-C TT(CA2)'!AF7</f>
        <v>0</v>
      </c>
      <c r="AD7" s="1628">
        <f>'3.XT-C TT(CA2)'!AH7</f>
        <v>0</v>
      </c>
      <c r="AE7" s="1628"/>
      <c r="AF7" s="1628">
        <f>'3.XT-C TT(CA2)'!Q7</f>
        <v>0</v>
      </c>
      <c r="AG7" s="1651">
        <f>'3.XT-C TT(CA2)'!S7</f>
        <v>0</v>
      </c>
      <c r="AH7" s="1645">
        <f>'3.XT-C TT(CA2)'!AJ7</f>
        <v>0</v>
      </c>
      <c r="AI7" s="1628">
        <f>'3.XT-C TT(CA2)'!AL7</f>
        <v>0</v>
      </c>
      <c r="AJ7" s="1519"/>
      <c r="AK7" s="1532"/>
      <c r="AL7" s="1536">
        <f t="shared" ref="AL7:AL22" si="0">H7+M7+R7+W7+AB7+AG7</f>
        <v>10.414389719999981</v>
      </c>
      <c r="AM7" s="1536">
        <f t="shared" ref="AM7:AM22" si="1">I7+N7+S7+X7+AC7+AH7</f>
        <v>9</v>
      </c>
    </row>
    <row r="8" spans="1:39" ht="23.25" customHeight="1">
      <c r="A8" s="1455">
        <v>3</v>
      </c>
      <c r="B8" s="3386" t="s">
        <v>1369</v>
      </c>
      <c r="C8" s="3387"/>
      <c r="D8" s="1516" t="s">
        <v>229</v>
      </c>
      <c r="E8" s="1515" t="s">
        <v>4</v>
      </c>
      <c r="F8" s="1516" t="s">
        <v>1281</v>
      </c>
      <c r="G8" s="1628">
        <f>'3.XT-C TT'!I8</f>
        <v>49.648500000000006</v>
      </c>
      <c r="H8" s="1651">
        <f>'3.XT-C TT'!K8</f>
        <v>4.0334624999999358</v>
      </c>
      <c r="I8" s="1645">
        <f>'3.XT-C TT'!AB8</f>
        <v>0</v>
      </c>
      <c r="J8" s="1628">
        <f>'3.XT-C TT'!AD8</f>
        <v>0</v>
      </c>
      <c r="K8" s="1519"/>
      <c r="L8" s="1628">
        <f>'3.XT-C TT'!M8</f>
        <v>50.297499999999999</v>
      </c>
      <c r="M8" s="1651">
        <f>'3.XT-C TT'!O8</f>
        <v>0</v>
      </c>
      <c r="N8" s="1645">
        <f>'3.XT-C TT'!AF8</f>
        <v>0</v>
      </c>
      <c r="O8" s="1628">
        <f>'3.XT-C TT'!AH8</f>
        <v>0</v>
      </c>
      <c r="P8" s="1519"/>
      <c r="Q8" s="1628">
        <f>'3.XT-C TT'!Q8</f>
        <v>50.297499999999999</v>
      </c>
      <c r="R8" s="1651">
        <f>'3.XT-C TT'!S8</f>
        <v>0</v>
      </c>
      <c r="S8" s="1645">
        <f>'3.XT-C TT'!AJ8</f>
        <v>0</v>
      </c>
      <c r="T8" s="1628">
        <f>'3.XT-C TT'!AL8</f>
        <v>0</v>
      </c>
      <c r="U8" s="1519"/>
      <c r="V8" s="1628">
        <f>'3.XT-C TT(CA2)'!I8</f>
        <v>0</v>
      </c>
      <c r="W8" s="1651">
        <f>'3.XT-C TT(CA2)'!K8</f>
        <v>0</v>
      </c>
      <c r="X8" s="1645">
        <f>'3.XT-C TT(CA2)'!AB8</f>
        <v>0</v>
      </c>
      <c r="Y8" s="1628">
        <f>'3.XT-C TT(CA2)'!AD8</f>
        <v>0</v>
      </c>
      <c r="Z8" s="1628"/>
      <c r="AA8" s="1628">
        <f>'3.XT-C TT(CA2)'!M8</f>
        <v>0</v>
      </c>
      <c r="AB8" s="1651">
        <f>'3.XT-C TT(CA2)'!O8</f>
        <v>0</v>
      </c>
      <c r="AC8" s="1645">
        <f>'3.XT-C TT(CA2)'!AF8</f>
        <v>0</v>
      </c>
      <c r="AD8" s="1628">
        <f>'3.XT-C TT(CA2)'!AH8</f>
        <v>0</v>
      </c>
      <c r="AE8" s="1628"/>
      <c r="AF8" s="1628">
        <f>'3.XT-C TT(CA2)'!Q8</f>
        <v>0</v>
      </c>
      <c r="AG8" s="1651">
        <f>'3.XT-C TT(CA2)'!S8</f>
        <v>0</v>
      </c>
      <c r="AH8" s="1645">
        <f>'3.XT-C TT(CA2)'!AJ8</f>
        <v>0</v>
      </c>
      <c r="AI8" s="1628">
        <f>'3.XT-C TT(CA2)'!AL8</f>
        <v>0</v>
      </c>
      <c r="AJ8" s="1519"/>
      <c r="AK8" s="1532"/>
      <c r="AL8" s="1536">
        <f t="shared" si="0"/>
        <v>4.0334624999999358</v>
      </c>
      <c r="AM8" s="1536">
        <f t="shared" si="1"/>
        <v>0</v>
      </c>
    </row>
    <row r="9" spans="1:39" ht="23.25" customHeight="1">
      <c r="A9" s="1455">
        <v>4</v>
      </c>
      <c r="B9" s="3387"/>
      <c r="C9" s="3387"/>
      <c r="D9" s="1516" t="s">
        <v>230</v>
      </c>
      <c r="E9" s="1004"/>
      <c r="F9" s="1516" t="s">
        <v>10</v>
      </c>
      <c r="G9" s="1628">
        <f>'3.XT-C TT'!I9</f>
        <v>0</v>
      </c>
      <c r="H9" s="1651">
        <f>'3.XT-C TT'!K9</f>
        <v>1.3713772499999783</v>
      </c>
      <c r="I9" s="1645">
        <f>'3.XT-C TT'!AB9</f>
        <v>0</v>
      </c>
      <c r="J9" s="1628">
        <f>'3.XT-C TT'!AD9</f>
        <v>0</v>
      </c>
      <c r="K9" s="1519"/>
      <c r="L9" s="1628">
        <f>'3.XT-C TT'!M9</f>
        <v>0</v>
      </c>
      <c r="M9" s="1651">
        <f>'3.XT-C TT'!O9</f>
        <v>0</v>
      </c>
      <c r="N9" s="1645">
        <f>'3.XT-C TT'!AF9</f>
        <v>0</v>
      </c>
      <c r="O9" s="1628">
        <f>'3.XT-C TT'!AH9</f>
        <v>0</v>
      </c>
      <c r="P9" s="1519"/>
      <c r="Q9" s="1628">
        <f>'3.XT-C TT'!Q9</f>
        <v>0</v>
      </c>
      <c r="R9" s="1651">
        <f>'3.XT-C TT'!S9</f>
        <v>0</v>
      </c>
      <c r="S9" s="1645">
        <f>'3.XT-C TT'!AJ9</f>
        <v>0</v>
      </c>
      <c r="T9" s="1628">
        <f>'3.XT-C TT'!AL9</f>
        <v>0</v>
      </c>
      <c r="U9" s="1519"/>
      <c r="V9" s="1628">
        <f>'3.XT-C TT(CA2)'!I9</f>
        <v>0</v>
      </c>
      <c r="W9" s="1651">
        <f>'3.XT-C TT(CA2)'!K9</f>
        <v>0</v>
      </c>
      <c r="X9" s="1645">
        <f>'3.XT-C TT(CA2)'!AB9</f>
        <v>0</v>
      </c>
      <c r="Y9" s="1628">
        <f>'3.XT-C TT(CA2)'!AD9</f>
        <v>0</v>
      </c>
      <c r="Z9" s="1628"/>
      <c r="AA9" s="1628">
        <f>'3.XT-C TT(CA2)'!M9</f>
        <v>0</v>
      </c>
      <c r="AB9" s="1651">
        <f>'3.XT-C TT(CA2)'!O9</f>
        <v>0</v>
      </c>
      <c r="AC9" s="1645">
        <f>'3.XT-C TT(CA2)'!AF9</f>
        <v>0</v>
      </c>
      <c r="AD9" s="1628">
        <f>'3.XT-C TT(CA2)'!AH9</f>
        <v>0</v>
      </c>
      <c r="AE9" s="1628"/>
      <c r="AF9" s="1628">
        <f>'3.XT-C TT(CA2)'!Q9</f>
        <v>0</v>
      </c>
      <c r="AG9" s="1651">
        <f>'3.XT-C TT(CA2)'!S9</f>
        <v>0</v>
      </c>
      <c r="AH9" s="1645">
        <f>'3.XT-C TT(CA2)'!AJ9</f>
        <v>0</v>
      </c>
      <c r="AI9" s="1628">
        <f>'3.XT-C TT(CA2)'!AL9</f>
        <v>0</v>
      </c>
      <c r="AJ9" s="1519"/>
      <c r="AK9" s="1532"/>
      <c r="AL9" s="1536">
        <f t="shared" si="0"/>
        <v>1.3713772499999783</v>
      </c>
      <c r="AM9" s="1536">
        <f t="shared" si="1"/>
        <v>0</v>
      </c>
    </row>
    <row r="10" spans="1:39" ht="23.25" customHeight="1">
      <c r="A10" s="1455">
        <v>5</v>
      </c>
      <c r="B10" s="3386" t="s">
        <v>1368</v>
      </c>
      <c r="C10" s="3387"/>
      <c r="D10" s="1517" t="s">
        <v>231</v>
      </c>
      <c r="E10" s="1515" t="s">
        <v>4</v>
      </c>
      <c r="F10" s="1516" t="s">
        <v>1281</v>
      </c>
      <c r="G10" s="1628">
        <f>'3.XT-C TT'!I10</f>
        <v>61.446000000000005</v>
      </c>
      <c r="H10" s="1651">
        <f>'3.XT-C TT'!K10</f>
        <v>0</v>
      </c>
      <c r="I10" s="1645">
        <f>'3.XT-C TT'!AB10</f>
        <v>3</v>
      </c>
      <c r="J10" s="1628">
        <f>'3.XT-C TT'!AD10</f>
        <v>61.908000000000001</v>
      </c>
      <c r="K10" s="1519"/>
      <c r="L10" s="1628">
        <f>'3.XT-C TT'!M10</f>
        <v>61.908000000000001</v>
      </c>
      <c r="M10" s="1651">
        <f>'3.XT-C TT'!O10</f>
        <v>0</v>
      </c>
      <c r="N10" s="1645">
        <f>'3.XT-C TT'!AF10</f>
        <v>0</v>
      </c>
      <c r="O10" s="1628">
        <f>'3.XT-C TT'!AH10</f>
        <v>0</v>
      </c>
      <c r="P10" s="1519"/>
      <c r="Q10" s="1628">
        <f>'3.XT-C TT'!Q10</f>
        <v>62.370000000000005</v>
      </c>
      <c r="R10" s="1651">
        <f>'3.XT-C TT'!S10</f>
        <v>0</v>
      </c>
      <c r="S10" s="1645">
        <f>'3.XT-C TT'!AJ10</f>
        <v>0</v>
      </c>
      <c r="T10" s="1628">
        <f>'3.XT-C TT'!AL10</f>
        <v>0</v>
      </c>
      <c r="U10" s="1519"/>
      <c r="V10" s="1628">
        <f>'3.XT-C TT(CA2)'!I10</f>
        <v>0</v>
      </c>
      <c r="W10" s="1651">
        <f>'3.XT-C TT(CA2)'!K10</f>
        <v>0</v>
      </c>
      <c r="X10" s="1645">
        <f>'3.XT-C TT(CA2)'!AB10</f>
        <v>0</v>
      </c>
      <c r="Y10" s="1628">
        <f>'3.XT-C TT(CA2)'!AD10</f>
        <v>0</v>
      </c>
      <c r="Z10" s="1628"/>
      <c r="AA10" s="1628">
        <f>'3.XT-C TT(CA2)'!M10</f>
        <v>0</v>
      </c>
      <c r="AB10" s="1651">
        <f>'3.XT-C TT(CA2)'!O10</f>
        <v>0</v>
      </c>
      <c r="AC10" s="1645">
        <f>'3.XT-C TT(CA2)'!AF10</f>
        <v>0</v>
      </c>
      <c r="AD10" s="1628">
        <f>'3.XT-C TT(CA2)'!AH10</f>
        <v>0</v>
      </c>
      <c r="AE10" s="1628"/>
      <c r="AF10" s="1628">
        <f>'3.XT-C TT(CA2)'!Q10</f>
        <v>0</v>
      </c>
      <c r="AG10" s="1651">
        <f>'3.XT-C TT(CA2)'!S10</f>
        <v>0</v>
      </c>
      <c r="AH10" s="1645">
        <f>'3.XT-C TT(CA2)'!AJ10</f>
        <v>0</v>
      </c>
      <c r="AI10" s="1628">
        <f>'3.XT-C TT(CA2)'!AL10</f>
        <v>0</v>
      </c>
      <c r="AJ10" s="1519"/>
      <c r="AK10" s="1532"/>
      <c r="AL10" s="1536">
        <f t="shared" si="0"/>
        <v>0</v>
      </c>
      <c r="AM10" s="1536">
        <f t="shared" si="1"/>
        <v>3</v>
      </c>
    </row>
    <row r="11" spans="1:39" ht="23.25" customHeight="1">
      <c r="A11" s="1455">
        <v>6</v>
      </c>
      <c r="B11" s="3387"/>
      <c r="C11" s="3387"/>
      <c r="D11" s="1517" t="s">
        <v>232</v>
      </c>
      <c r="E11" s="1004"/>
      <c r="F11" s="1516" t="s">
        <v>10</v>
      </c>
      <c r="G11" s="1628">
        <f>'3.XT-C TT'!I11</f>
        <v>0</v>
      </c>
      <c r="H11" s="1651">
        <f>'3.XT-C TT'!K11</f>
        <v>0</v>
      </c>
      <c r="I11" s="1645">
        <f>'3.XT-C TT'!AB11</f>
        <v>1</v>
      </c>
      <c r="J11" s="1628">
        <f>'3.XT-C TT'!AD11</f>
        <v>0</v>
      </c>
      <c r="K11" s="1519"/>
      <c r="L11" s="1628">
        <f>'3.XT-C TT'!M11</f>
        <v>0</v>
      </c>
      <c r="M11" s="1651">
        <f>'3.XT-C TT'!O11</f>
        <v>0</v>
      </c>
      <c r="N11" s="1645">
        <f>'3.XT-C TT'!AF11</f>
        <v>0</v>
      </c>
      <c r="O11" s="1628">
        <f>'3.XT-C TT'!AH11</f>
        <v>0</v>
      </c>
      <c r="P11" s="1519"/>
      <c r="Q11" s="1628">
        <f>'3.XT-C TT'!Q11</f>
        <v>0</v>
      </c>
      <c r="R11" s="1651">
        <f>'3.XT-C TT'!S11</f>
        <v>0</v>
      </c>
      <c r="S11" s="1645">
        <f>'3.XT-C TT'!AJ11</f>
        <v>0</v>
      </c>
      <c r="T11" s="1628">
        <f>'3.XT-C TT'!AL11</f>
        <v>0</v>
      </c>
      <c r="U11" s="1519"/>
      <c r="V11" s="1628">
        <f>'3.XT-C TT(CA2)'!I11</f>
        <v>0</v>
      </c>
      <c r="W11" s="1651">
        <f>'3.XT-C TT(CA2)'!K11</f>
        <v>0</v>
      </c>
      <c r="X11" s="1645">
        <f>'3.XT-C TT(CA2)'!AB11</f>
        <v>0</v>
      </c>
      <c r="Y11" s="1628">
        <f>'3.XT-C TT(CA2)'!AD11</f>
        <v>0</v>
      </c>
      <c r="Z11" s="1628"/>
      <c r="AA11" s="1628">
        <f>'3.XT-C TT(CA2)'!M11</f>
        <v>0</v>
      </c>
      <c r="AB11" s="1651">
        <f>'3.XT-C TT(CA2)'!O11</f>
        <v>0</v>
      </c>
      <c r="AC11" s="1645">
        <f>'3.XT-C TT(CA2)'!AF11</f>
        <v>0</v>
      </c>
      <c r="AD11" s="1628">
        <f>'3.XT-C TT(CA2)'!AH11</f>
        <v>0</v>
      </c>
      <c r="AE11" s="1628"/>
      <c r="AF11" s="1628">
        <f>'3.XT-C TT(CA2)'!Q11</f>
        <v>0</v>
      </c>
      <c r="AG11" s="1651">
        <f>'3.XT-C TT(CA2)'!S11</f>
        <v>0</v>
      </c>
      <c r="AH11" s="1645">
        <f>'3.XT-C TT(CA2)'!AJ11</f>
        <v>0</v>
      </c>
      <c r="AI11" s="1628">
        <f>'3.XT-C TT(CA2)'!AL11</f>
        <v>0</v>
      </c>
      <c r="AJ11" s="1519"/>
      <c r="AK11" s="1532"/>
      <c r="AL11" s="1536">
        <f t="shared" si="0"/>
        <v>0</v>
      </c>
      <c r="AM11" s="1536">
        <f t="shared" si="1"/>
        <v>1</v>
      </c>
    </row>
    <row r="12" spans="1:39" ht="23.25" customHeight="1">
      <c r="A12" s="1455">
        <v>7</v>
      </c>
      <c r="B12" s="3386" t="s">
        <v>140</v>
      </c>
      <c r="C12" s="3387"/>
      <c r="D12" s="1517" t="s">
        <v>231</v>
      </c>
      <c r="E12" s="1515" t="s">
        <v>4</v>
      </c>
      <c r="F12" s="1516" t="s">
        <v>1281</v>
      </c>
      <c r="G12" s="1628">
        <f>'3.XT-C TT'!I12</f>
        <v>59.598000000000006</v>
      </c>
      <c r="H12" s="1651">
        <f>'3.XT-C TT'!K12</f>
        <v>3.4845359999999475</v>
      </c>
      <c r="I12" s="1645">
        <f>'3.XT-C TT'!AB12</f>
        <v>0</v>
      </c>
      <c r="J12" s="1628">
        <f>'3.XT-C TT'!AD12</f>
        <v>0</v>
      </c>
      <c r="K12" s="1519"/>
      <c r="L12" s="1628">
        <f>'3.XT-C TT'!M12</f>
        <v>60.753</v>
      </c>
      <c r="M12" s="1651">
        <f>'3.XT-C TT'!O12</f>
        <v>0</v>
      </c>
      <c r="N12" s="1645">
        <f>'3.XT-C TT'!AF12</f>
        <v>0</v>
      </c>
      <c r="O12" s="1628">
        <f>'3.XT-C TT'!AH12</f>
        <v>0</v>
      </c>
      <c r="P12" s="1519"/>
      <c r="Q12" s="1628">
        <f>'3.XT-C TT'!Q12</f>
        <v>61.215000000000003</v>
      </c>
      <c r="R12" s="1651">
        <f>'3.XT-C TT'!S12</f>
        <v>0</v>
      </c>
      <c r="S12" s="1645">
        <f>'3.XT-C TT'!AJ12</f>
        <v>0</v>
      </c>
      <c r="T12" s="1628">
        <f>'3.XT-C TT'!AL12</f>
        <v>0</v>
      </c>
      <c r="U12" s="1519"/>
      <c r="V12" s="1628">
        <f>'3.XT-C TT(CA2)'!I12</f>
        <v>0</v>
      </c>
      <c r="W12" s="1651">
        <f>'3.XT-C TT(CA2)'!K12</f>
        <v>0</v>
      </c>
      <c r="X12" s="1645">
        <f>'3.XT-C TT(CA2)'!AB12</f>
        <v>0</v>
      </c>
      <c r="Y12" s="1628">
        <f>'3.XT-C TT(CA2)'!AD12</f>
        <v>0</v>
      </c>
      <c r="Z12" s="1628"/>
      <c r="AA12" s="1628">
        <f>'3.XT-C TT(CA2)'!M12</f>
        <v>0</v>
      </c>
      <c r="AB12" s="1651">
        <f>'3.XT-C TT(CA2)'!O12</f>
        <v>0</v>
      </c>
      <c r="AC12" s="1645">
        <f>'3.XT-C TT(CA2)'!AF12</f>
        <v>0</v>
      </c>
      <c r="AD12" s="1628">
        <f>'3.XT-C TT(CA2)'!AH12</f>
        <v>0</v>
      </c>
      <c r="AE12" s="1628"/>
      <c r="AF12" s="1628">
        <f>'3.XT-C TT(CA2)'!Q12</f>
        <v>0</v>
      </c>
      <c r="AG12" s="1651">
        <f>'3.XT-C TT(CA2)'!S12</f>
        <v>0</v>
      </c>
      <c r="AH12" s="1645">
        <f>'3.XT-C TT(CA2)'!AJ12</f>
        <v>0</v>
      </c>
      <c r="AI12" s="1628">
        <f>'3.XT-C TT(CA2)'!AL12</f>
        <v>0</v>
      </c>
      <c r="AJ12" s="1519"/>
      <c r="AK12" s="1532"/>
      <c r="AL12" s="1536">
        <f t="shared" si="0"/>
        <v>3.4845359999999475</v>
      </c>
      <c r="AM12" s="1536">
        <f t="shared" si="1"/>
        <v>0</v>
      </c>
    </row>
    <row r="13" spans="1:39" ht="23.25" customHeight="1">
      <c r="A13" s="1455">
        <v>8</v>
      </c>
      <c r="B13" s="3387"/>
      <c r="C13" s="3387"/>
      <c r="D13" s="1517" t="s">
        <v>232</v>
      </c>
      <c r="E13" s="1004"/>
      <c r="F13" s="1516" t="s">
        <v>10</v>
      </c>
      <c r="G13" s="1628">
        <f>'3.XT-C TT'!I13</f>
        <v>0</v>
      </c>
      <c r="H13" s="1651">
        <f>'3.XT-C TT'!K13</f>
        <v>1.1150515199999831</v>
      </c>
      <c r="I13" s="1645">
        <f>'3.XT-C TT'!AB13</f>
        <v>0</v>
      </c>
      <c r="J13" s="1628">
        <f>'3.XT-C TT'!AD13</f>
        <v>0</v>
      </c>
      <c r="K13" s="1519"/>
      <c r="L13" s="1628">
        <f>'3.XT-C TT'!M13</f>
        <v>0</v>
      </c>
      <c r="M13" s="1651">
        <f>'3.XT-C TT'!O13</f>
        <v>0</v>
      </c>
      <c r="N13" s="1645">
        <f>'3.XT-C TT'!AF13</f>
        <v>0</v>
      </c>
      <c r="O13" s="1628">
        <f>'3.XT-C TT'!AH13</f>
        <v>0</v>
      </c>
      <c r="P13" s="1519"/>
      <c r="Q13" s="1628">
        <f>'3.XT-C TT'!Q13</f>
        <v>0</v>
      </c>
      <c r="R13" s="1651">
        <f>'3.XT-C TT'!S13</f>
        <v>0</v>
      </c>
      <c r="S13" s="1645">
        <f>'3.XT-C TT'!AJ13</f>
        <v>0</v>
      </c>
      <c r="T13" s="1628">
        <f>'3.XT-C TT'!AL13</f>
        <v>0</v>
      </c>
      <c r="U13" s="1519"/>
      <c r="V13" s="1628">
        <f>'3.XT-C TT(CA2)'!I13</f>
        <v>0</v>
      </c>
      <c r="W13" s="1651">
        <f>'3.XT-C TT(CA2)'!K13</f>
        <v>0</v>
      </c>
      <c r="X13" s="1645">
        <f>'3.XT-C TT(CA2)'!AB13</f>
        <v>0</v>
      </c>
      <c r="Y13" s="1628">
        <f>'3.XT-C TT(CA2)'!AD13</f>
        <v>0</v>
      </c>
      <c r="Z13" s="1628"/>
      <c r="AA13" s="1628">
        <f>'3.XT-C TT(CA2)'!M13</f>
        <v>0</v>
      </c>
      <c r="AB13" s="1651">
        <f>'3.XT-C TT(CA2)'!O13</f>
        <v>0</v>
      </c>
      <c r="AC13" s="1645">
        <f>'3.XT-C TT(CA2)'!AF13</f>
        <v>0</v>
      </c>
      <c r="AD13" s="1628">
        <f>'3.XT-C TT(CA2)'!AH13</f>
        <v>0</v>
      </c>
      <c r="AE13" s="1628"/>
      <c r="AF13" s="1628">
        <f>'3.XT-C TT(CA2)'!Q13</f>
        <v>0</v>
      </c>
      <c r="AG13" s="1651">
        <f>'3.XT-C TT(CA2)'!S13</f>
        <v>0</v>
      </c>
      <c r="AH13" s="1645">
        <f>'3.XT-C TT(CA2)'!AJ13</f>
        <v>0</v>
      </c>
      <c r="AI13" s="1628">
        <f>'3.XT-C TT(CA2)'!AL13</f>
        <v>0</v>
      </c>
      <c r="AJ13" s="1519"/>
      <c r="AK13" s="1532"/>
      <c r="AL13" s="1536">
        <f t="shared" si="0"/>
        <v>1.1150515199999831</v>
      </c>
      <c r="AM13" s="1536">
        <f t="shared" si="1"/>
        <v>0</v>
      </c>
    </row>
    <row r="14" spans="1:39" ht="23.25" customHeight="1">
      <c r="A14" s="1455">
        <v>9</v>
      </c>
      <c r="B14" s="3216" t="s">
        <v>1367</v>
      </c>
      <c r="C14" s="3441" t="s">
        <v>1366</v>
      </c>
      <c r="D14" s="3442"/>
      <c r="E14" s="1515" t="s">
        <v>4</v>
      </c>
      <c r="F14" s="1516" t="s">
        <v>1281</v>
      </c>
      <c r="G14" s="1628">
        <f>'3.XT-C TT'!I14</f>
        <v>142.4</v>
      </c>
      <c r="H14" s="1651">
        <f>'3.XT-C TT'!K14</f>
        <v>0</v>
      </c>
      <c r="I14" s="1645">
        <f>'3.XT-C TT'!AB14</f>
        <v>0</v>
      </c>
      <c r="J14" s="1628">
        <f>'3.XT-C TT'!AD14</f>
        <v>0</v>
      </c>
      <c r="K14" s="1519"/>
      <c r="L14" s="1628">
        <f>'3.XT-C TT'!M14</f>
        <v>143.19999999999999</v>
      </c>
      <c r="M14" s="1651">
        <f>'3.XT-C TT'!O14</f>
        <v>0</v>
      </c>
      <c r="N14" s="1645">
        <f>'3.XT-C TT'!AF14</f>
        <v>0</v>
      </c>
      <c r="O14" s="1628">
        <f>'3.XT-C TT'!AH14</f>
        <v>0</v>
      </c>
      <c r="P14" s="1519"/>
      <c r="Q14" s="1628">
        <f>'3.XT-C TT'!Q14</f>
        <v>138.80000000000001</v>
      </c>
      <c r="R14" s="1651">
        <f>'3.XT-C TT'!S14</f>
        <v>63.679199999999391</v>
      </c>
      <c r="S14" s="1645">
        <f>'3.XT-C TT'!AJ14</f>
        <v>0</v>
      </c>
      <c r="T14" s="1628">
        <f>'3.XT-C TT'!AL14</f>
        <v>0</v>
      </c>
      <c r="U14" s="1519"/>
      <c r="V14" s="1628">
        <f>'3.XT-C TT(CA2)'!I14</f>
        <v>0</v>
      </c>
      <c r="W14" s="1651">
        <f>'3.XT-C TT(CA2)'!K14</f>
        <v>0</v>
      </c>
      <c r="X14" s="1645">
        <f>'3.XT-C TT(CA2)'!AB14</f>
        <v>0</v>
      </c>
      <c r="Y14" s="1628">
        <f>'3.XT-C TT(CA2)'!AD14</f>
        <v>0</v>
      </c>
      <c r="Z14" s="1628"/>
      <c r="AA14" s="1628">
        <f>'3.XT-C TT(CA2)'!M14</f>
        <v>0</v>
      </c>
      <c r="AB14" s="1651">
        <f>'3.XT-C TT(CA2)'!O14</f>
        <v>0</v>
      </c>
      <c r="AC14" s="1645">
        <f>'3.XT-C TT(CA2)'!AF14</f>
        <v>0</v>
      </c>
      <c r="AD14" s="1628">
        <f>'3.XT-C TT(CA2)'!AH14</f>
        <v>0</v>
      </c>
      <c r="AE14" s="1628"/>
      <c r="AF14" s="1628">
        <f>'3.XT-C TT(CA2)'!Q14</f>
        <v>0</v>
      </c>
      <c r="AG14" s="1651">
        <f>'3.XT-C TT(CA2)'!S14</f>
        <v>0</v>
      </c>
      <c r="AH14" s="1645">
        <f>'3.XT-C TT(CA2)'!AJ14</f>
        <v>0</v>
      </c>
      <c r="AI14" s="1628">
        <f>'3.XT-C TT(CA2)'!AL14</f>
        <v>0</v>
      </c>
      <c r="AJ14" s="1519"/>
      <c r="AK14" s="1532"/>
      <c r="AL14" s="1536">
        <f t="shared" si="0"/>
        <v>63.679199999999391</v>
      </c>
      <c r="AM14" s="1536">
        <f t="shared" si="1"/>
        <v>0</v>
      </c>
    </row>
    <row r="15" spans="1:39" ht="23.25" customHeight="1">
      <c r="A15" s="1455">
        <v>10</v>
      </c>
      <c r="B15" s="3520"/>
      <c r="C15" s="3441" t="s">
        <v>1365</v>
      </c>
      <c r="D15" s="3442"/>
      <c r="E15" s="1515" t="s">
        <v>4</v>
      </c>
      <c r="F15" s="1516" t="s">
        <v>1281</v>
      </c>
      <c r="G15" s="1628">
        <f>'3.XT-C TT'!I15</f>
        <v>8.3849999999999998</v>
      </c>
      <c r="H15" s="1651">
        <f>'3.XT-C TT'!K15</f>
        <v>6.1025900000000108</v>
      </c>
      <c r="I15" s="1645">
        <f>'3.XT-C TT'!AB15</f>
        <v>0</v>
      </c>
      <c r="J15" s="1628">
        <f>'3.XT-C TT'!AD15</f>
        <v>0</v>
      </c>
      <c r="K15" s="1519"/>
      <c r="L15" s="1628">
        <f>'3.XT-C TT'!M15</f>
        <v>8.3849999999999998</v>
      </c>
      <c r="M15" s="1651">
        <f>'3.XT-C TT'!O15</f>
        <v>6.1025900000000108</v>
      </c>
      <c r="N15" s="1645">
        <f>'3.XT-C TT'!AF15</f>
        <v>0</v>
      </c>
      <c r="O15" s="1628">
        <f>'3.XT-C TT'!AH15</f>
        <v>0</v>
      </c>
      <c r="P15" s="1519"/>
      <c r="Q15" s="1628">
        <f>'3.XT-C TT'!Q15</f>
        <v>8.4500000000000011</v>
      </c>
      <c r="R15" s="1651">
        <f>'3.XT-C TT'!S15</f>
        <v>2.6532999999999434</v>
      </c>
      <c r="S15" s="1645">
        <f>'3.XT-C TT'!AJ15</f>
        <v>0</v>
      </c>
      <c r="T15" s="1628">
        <f>'3.XT-C TT'!AL15</f>
        <v>0</v>
      </c>
      <c r="U15" s="1519"/>
      <c r="V15" s="1628">
        <f>'3.XT-C TT(CA2)'!I15</f>
        <v>0</v>
      </c>
      <c r="W15" s="1651">
        <f>'3.XT-C TT(CA2)'!K15</f>
        <v>0</v>
      </c>
      <c r="X15" s="1645">
        <f>'3.XT-C TT(CA2)'!AB15</f>
        <v>0</v>
      </c>
      <c r="Y15" s="1628">
        <f>'3.XT-C TT(CA2)'!AD15</f>
        <v>0</v>
      </c>
      <c r="Z15" s="1628"/>
      <c r="AA15" s="1628">
        <f>'3.XT-C TT(CA2)'!M15</f>
        <v>0</v>
      </c>
      <c r="AB15" s="1651">
        <f>'3.XT-C TT(CA2)'!O15</f>
        <v>0</v>
      </c>
      <c r="AC15" s="1645">
        <f>'3.XT-C TT(CA2)'!AF15</f>
        <v>0</v>
      </c>
      <c r="AD15" s="1628">
        <f>'3.XT-C TT(CA2)'!AH15</f>
        <v>0</v>
      </c>
      <c r="AE15" s="1628"/>
      <c r="AF15" s="1628">
        <f>'3.XT-C TT(CA2)'!Q15</f>
        <v>0</v>
      </c>
      <c r="AG15" s="1651">
        <f>'3.XT-C TT(CA2)'!S15</f>
        <v>0</v>
      </c>
      <c r="AH15" s="1645">
        <f>'3.XT-C TT(CA2)'!AJ15</f>
        <v>0</v>
      </c>
      <c r="AI15" s="1628">
        <f>'3.XT-C TT(CA2)'!AL15</f>
        <v>0</v>
      </c>
      <c r="AJ15" s="1519"/>
      <c r="AK15" s="1532"/>
      <c r="AL15" s="1536">
        <f t="shared" si="0"/>
        <v>14.858479999999965</v>
      </c>
      <c r="AM15" s="1536">
        <f t="shared" si="1"/>
        <v>0</v>
      </c>
    </row>
    <row r="16" spans="1:39" s="7" customFormat="1" ht="23.25" customHeight="1">
      <c r="A16" s="1455">
        <v>11</v>
      </c>
      <c r="B16" s="3450" t="s">
        <v>1364</v>
      </c>
      <c r="C16" s="3519"/>
      <c r="D16" s="3519"/>
      <c r="E16" s="1516" t="s">
        <v>3</v>
      </c>
      <c r="F16" s="1516" t="s">
        <v>10</v>
      </c>
      <c r="G16" s="1628">
        <f>'3.XT-C TT'!I16</f>
        <v>6.7287950000000007</v>
      </c>
      <c r="H16" s="1651">
        <f>'3.XT-C TT'!K16</f>
        <v>0</v>
      </c>
      <c r="I16" s="1645">
        <f>'3.XT-C TT'!AB16</f>
        <v>0</v>
      </c>
      <c r="J16" s="1628">
        <f>'3.XT-C TT'!AD16</f>
        <v>0</v>
      </c>
      <c r="K16" s="1519"/>
      <c r="L16" s="1628">
        <f>'3.XT-C TT'!M16</f>
        <v>6.6864250000000007</v>
      </c>
      <c r="M16" s="1651">
        <f>'3.XT-C TT'!O16</f>
        <v>0</v>
      </c>
      <c r="N16" s="1645">
        <f>'3.XT-C TT'!AF16</f>
        <v>0</v>
      </c>
      <c r="O16" s="1628">
        <f>'3.XT-C TT'!AH16</f>
        <v>0</v>
      </c>
      <c r="P16" s="1519"/>
      <c r="Q16" s="1628">
        <f>'3.XT-C TT'!Q16</f>
        <v>6.6228700000000007</v>
      </c>
      <c r="R16" s="1651">
        <f>'3.XT-C TT'!S16</f>
        <v>0</v>
      </c>
      <c r="S16" s="1645">
        <f>'3.XT-C TT'!AJ16</f>
        <v>0</v>
      </c>
      <c r="T16" s="1628">
        <f>'3.XT-C TT'!AL16</f>
        <v>0</v>
      </c>
      <c r="U16" s="1519"/>
      <c r="V16" s="1628">
        <f>'3.XT-C TT(CA2)'!I16</f>
        <v>-1.0461</v>
      </c>
      <c r="W16" s="1651">
        <f>'3.XT-C TT(CA2)'!K16</f>
        <v>0</v>
      </c>
      <c r="X16" s="1645">
        <f>'3.XT-C TT(CA2)'!AB16</f>
        <v>0</v>
      </c>
      <c r="Y16" s="1628">
        <f>'3.XT-C TT(CA2)'!AD16</f>
        <v>0</v>
      </c>
      <c r="Z16" s="1628"/>
      <c r="AA16" s="1628">
        <f>'3.XT-C TT(CA2)'!M16</f>
        <v>-1.0461</v>
      </c>
      <c r="AB16" s="1651">
        <f>'3.XT-C TT(CA2)'!O16</f>
        <v>0</v>
      </c>
      <c r="AC16" s="1645">
        <f>'3.XT-C TT(CA2)'!AF16</f>
        <v>0</v>
      </c>
      <c r="AD16" s="1628">
        <f>'3.XT-C TT(CA2)'!AH16</f>
        <v>0</v>
      </c>
      <c r="AE16" s="1628"/>
      <c r="AF16" s="1628">
        <f>'3.XT-C TT(CA2)'!Q16</f>
        <v>-1.0461</v>
      </c>
      <c r="AG16" s="1651">
        <f>'3.XT-C TT(CA2)'!S16</f>
        <v>0</v>
      </c>
      <c r="AH16" s="1645">
        <f>'3.XT-C TT(CA2)'!AJ16</f>
        <v>0</v>
      </c>
      <c r="AI16" s="1628">
        <f>'3.XT-C TT(CA2)'!AL16</f>
        <v>0</v>
      </c>
      <c r="AJ16" s="1519"/>
      <c r="AK16" s="1532"/>
      <c r="AL16" s="1536">
        <f t="shared" si="0"/>
        <v>0</v>
      </c>
      <c r="AM16" s="1536">
        <f t="shared" si="1"/>
        <v>0</v>
      </c>
    </row>
    <row r="17" spans="1:40" ht="23.25" customHeight="1">
      <c r="A17" s="1455">
        <v>13</v>
      </c>
      <c r="B17" s="3432" t="s">
        <v>1363</v>
      </c>
      <c r="C17" s="3433"/>
      <c r="D17" s="3433"/>
      <c r="E17" s="1516" t="s">
        <v>1381</v>
      </c>
      <c r="F17" s="1516" t="s">
        <v>10</v>
      </c>
      <c r="G17" s="1628">
        <f>'3.XT-C TT'!I17</f>
        <v>2.11</v>
      </c>
      <c r="H17" s="1651">
        <f>'3.XT-C TT'!K17</f>
        <v>0</v>
      </c>
      <c r="I17" s="1645">
        <f>'3.XT-C TT'!AB17</f>
        <v>0</v>
      </c>
      <c r="J17" s="1628">
        <f>'3.XT-C TT'!AD17</f>
        <v>0</v>
      </c>
      <c r="K17" s="1519"/>
      <c r="L17" s="1628">
        <f>'3.XT-C TT'!M17</f>
        <v>2.1</v>
      </c>
      <c r="M17" s="1651">
        <f>'3.XT-C TT'!O17</f>
        <v>0</v>
      </c>
      <c r="N17" s="1645">
        <f>'3.XT-C TT'!AF17</f>
        <v>0</v>
      </c>
      <c r="O17" s="1628">
        <f>'3.XT-C TT'!AH17</f>
        <v>0</v>
      </c>
      <c r="P17" s="1519"/>
      <c r="Q17" s="1628">
        <f>'3.XT-C TT'!Q17</f>
        <v>2.14</v>
      </c>
      <c r="R17" s="1651">
        <f>'3.XT-C TT'!S17</f>
        <v>0</v>
      </c>
      <c r="S17" s="1645">
        <f>'3.XT-C TT'!AJ17</f>
        <v>0</v>
      </c>
      <c r="T17" s="1628">
        <f>'3.XT-C TT'!AL17</f>
        <v>0</v>
      </c>
      <c r="U17" s="1519"/>
      <c r="V17" s="1628">
        <f>'3.XT-C TT(CA2)'!I17</f>
        <v>0</v>
      </c>
      <c r="W17" s="1651">
        <f>'3.XT-C TT(CA2)'!K17</f>
        <v>0</v>
      </c>
      <c r="X17" s="1645">
        <f>'3.XT-C TT(CA2)'!AB17</f>
        <v>0</v>
      </c>
      <c r="Y17" s="1628">
        <f>'3.XT-C TT(CA2)'!AD17</f>
        <v>0</v>
      </c>
      <c r="Z17" s="1628"/>
      <c r="AA17" s="1628">
        <f>'3.XT-C TT(CA2)'!M17</f>
        <v>0</v>
      </c>
      <c r="AB17" s="1651">
        <f>'3.XT-C TT(CA2)'!O17</f>
        <v>0</v>
      </c>
      <c r="AC17" s="1645">
        <f>'3.XT-C TT(CA2)'!AF17</f>
        <v>0</v>
      </c>
      <c r="AD17" s="1628">
        <f>'3.XT-C TT(CA2)'!AH17</f>
        <v>0</v>
      </c>
      <c r="AE17" s="1628"/>
      <c r="AF17" s="1628">
        <f>'3.XT-C TT(CA2)'!Q17</f>
        <v>0</v>
      </c>
      <c r="AG17" s="1651">
        <f>'3.XT-C TT(CA2)'!S17</f>
        <v>0</v>
      </c>
      <c r="AH17" s="1645">
        <f>'3.XT-C TT(CA2)'!AJ17</f>
        <v>0</v>
      </c>
      <c r="AI17" s="1628">
        <f>'3.XT-C TT(CA2)'!AL17</f>
        <v>0</v>
      </c>
      <c r="AJ17" s="1519"/>
      <c r="AK17" s="1532"/>
      <c r="AL17" s="1536">
        <f t="shared" si="0"/>
        <v>0</v>
      </c>
      <c r="AM17" s="1536">
        <f t="shared" si="1"/>
        <v>0</v>
      </c>
    </row>
    <row r="18" spans="1:40" ht="23.25" customHeight="1">
      <c r="A18" s="1455">
        <v>14</v>
      </c>
      <c r="B18" s="3432" t="s">
        <v>1362</v>
      </c>
      <c r="C18" s="3433"/>
      <c r="D18" s="3433"/>
      <c r="E18" s="1516" t="s">
        <v>1381</v>
      </c>
      <c r="F18" s="1516" t="s">
        <v>10</v>
      </c>
      <c r="G18" s="1628">
        <f>'3.XT-C TT'!I19</f>
        <v>0</v>
      </c>
      <c r="H18" s="1651">
        <f>'3.XT-C TT'!K19</f>
        <v>0</v>
      </c>
      <c r="I18" s="1645">
        <f>'3.XT-C TT'!AB19</f>
        <v>0</v>
      </c>
      <c r="J18" s="1628">
        <f>'3.XT-C TT'!AD19</f>
        <v>0</v>
      </c>
      <c r="K18" s="1519"/>
      <c r="L18" s="1628">
        <f>'3.XT-C TT'!M19</f>
        <v>0</v>
      </c>
      <c r="M18" s="1651">
        <f>'3.XT-C TT'!O19</f>
        <v>0</v>
      </c>
      <c r="N18" s="1645">
        <f>'3.XT-C TT'!AF19</f>
        <v>0</v>
      </c>
      <c r="O18" s="1628">
        <f>'3.XT-C TT'!AH19</f>
        <v>0</v>
      </c>
      <c r="P18" s="1519"/>
      <c r="Q18" s="1628">
        <f>'3.XT-C TT'!Q19</f>
        <v>0</v>
      </c>
      <c r="R18" s="1651">
        <f>'3.XT-C TT'!S19</f>
        <v>0</v>
      </c>
      <c r="S18" s="1645">
        <f>'3.XT-C TT'!AJ19</f>
        <v>0</v>
      </c>
      <c r="T18" s="1628">
        <f>'3.XT-C TT'!AL19</f>
        <v>0</v>
      </c>
      <c r="U18" s="1519"/>
      <c r="V18" s="1628">
        <f>'3.XT-C TT(CA2)'!I18</f>
        <v>0</v>
      </c>
      <c r="W18" s="1651">
        <f>'3.XT-C TT(CA2)'!K18</f>
        <v>0</v>
      </c>
      <c r="X18" s="1645">
        <f>'3.XT-C TT(CA2)'!AB18</f>
        <v>0</v>
      </c>
      <c r="Y18" s="1628">
        <f>'3.XT-C TT(CA2)'!AD18</f>
        <v>0</v>
      </c>
      <c r="Z18" s="1628"/>
      <c r="AA18" s="1628">
        <f>'3.XT-C TT(CA2)'!M18</f>
        <v>0</v>
      </c>
      <c r="AB18" s="1651">
        <f>'3.XT-C TT(CA2)'!O18</f>
        <v>0</v>
      </c>
      <c r="AC18" s="1645">
        <f>'3.XT-C TT(CA2)'!AF18</f>
        <v>0</v>
      </c>
      <c r="AD18" s="1628">
        <f>'3.XT-C TT(CA2)'!AH18</f>
        <v>0</v>
      </c>
      <c r="AE18" s="1628"/>
      <c r="AF18" s="1628">
        <f>'3.XT-C TT(CA2)'!Q18</f>
        <v>0</v>
      </c>
      <c r="AG18" s="1651">
        <f>'3.XT-C TT(CA2)'!S18</f>
        <v>0</v>
      </c>
      <c r="AH18" s="1645">
        <f>'3.XT-C TT(CA2)'!AJ18</f>
        <v>0</v>
      </c>
      <c r="AI18" s="1628">
        <f>'3.XT-C TT(CA2)'!AL18</f>
        <v>0</v>
      </c>
      <c r="AJ18" s="1519"/>
      <c r="AK18" s="1532"/>
      <c r="AL18" s="1536">
        <f t="shared" si="0"/>
        <v>0</v>
      </c>
      <c r="AM18" s="1536">
        <f t="shared" si="1"/>
        <v>0</v>
      </c>
    </row>
    <row r="19" spans="1:40" ht="23.25" customHeight="1">
      <c r="A19" s="1455">
        <v>15</v>
      </c>
      <c r="B19" s="3432" t="s">
        <v>1361</v>
      </c>
      <c r="C19" s="3433"/>
      <c r="D19" s="3433"/>
      <c r="E19" s="1516" t="s">
        <v>1381</v>
      </c>
      <c r="F19" s="1516" t="s">
        <v>10</v>
      </c>
      <c r="G19" s="1628">
        <f>'3.XT-C TT'!I21</f>
        <v>0.45168749999999996</v>
      </c>
      <c r="H19" s="1651">
        <f>'3.XT-C TT'!K21</f>
        <v>0</v>
      </c>
      <c r="I19" s="1645">
        <f>'3.XT-C TT'!AB21</f>
        <v>0</v>
      </c>
      <c r="J19" s="1628">
        <f>'3.XT-C TT'!AD21</f>
        <v>0</v>
      </c>
      <c r="K19" s="1519"/>
      <c r="L19" s="1628">
        <f>'3.XT-C TT'!M21</f>
        <v>0.45624999999999999</v>
      </c>
      <c r="M19" s="1651">
        <f>'3.XT-C TT'!O21</f>
        <v>0</v>
      </c>
      <c r="N19" s="1645">
        <f>'3.XT-C TT'!AF21</f>
        <v>0</v>
      </c>
      <c r="O19" s="1628">
        <f>'3.XT-C TT'!AH21</f>
        <v>0</v>
      </c>
      <c r="P19" s="1519"/>
      <c r="Q19" s="1628">
        <f>'3.XT-C TT'!Q21</f>
        <v>0.45624999999999999</v>
      </c>
      <c r="R19" s="1651">
        <f>'3.XT-C TT'!S21</f>
        <v>0</v>
      </c>
      <c r="S19" s="1645">
        <f>'3.XT-C TT'!AJ21</f>
        <v>0</v>
      </c>
      <c r="T19" s="1628">
        <f>'3.XT-C TT'!AL21</f>
        <v>0</v>
      </c>
      <c r="U19" s="1519"/>
      <c r="V19" s="1628">
        <f>'3.XT-C TT(CA2)'!I20</f>
        <v>0</v>
      </c>
      <c r="W19" s="1651">
        <f>'3.XT-C TT(CA2)'!K20</f>
        <v>0</v>
      </c>
      <c r="X19" s="1645">
        <f>'3.XT-C TT(CA2)'!AB20</f>
        <v>0</v>
      </c>
      <c r="Y19" s="1628">
        <f>'3.XT-C TT(CA2)'!AD20</f>
        <v>0</v>
      </c>
      <c r="Z19" s="1628"/>
      <c r="AA19" s="1628">
        <f>'3.XT-C TT(CA2)'!M20</f>
        <v>0</v>
      </c>
      <c r="AB19" s="1651">
        <f>'3.XT-C TT(CA2)'!O20</f>
        <v>0</v>
      </c>
      <c r="AC19" s="1645">
        <f>'3.XT-C TT(CA2)'!AF20</f>
        <v>0</v>
      </c>
      <c r="AD19" s="1628">
        <f>'3.XT-C TT(CA2)'!AH20</f>
        <v>0</v>
      </c>
      <c r="AE19" s="1628"/>
      <c r="AF19" s="1628">
        <f>'3.XT-C TT(CA2)'!Q20</f>
        <v>0</v>
      </c>
      <c r="AG19" s="1651">
        <f>'3.XT-C TT(CA2)'!S20</f>
        <v>0</v>
      </c>
      <c r="AH19" s="1645">
        <f>'3.XT-C TT(CA2)'!AJ20</f>
        <v>0</v>
      </c>
      <c r="AI19" s="1628">
        <f>'3.XT-C TT(CA2)'!AL20</f>
        <v>0</v>
      </c>
      <c r="AJ19" s="1519"/>
      <c r="AK19" s="1532"/>
      <c r="AL19" s="1536">
        <f t="shared" si="0"/>
        <v>0</v>
      </c>
      <c r="AM19" s="1536">
        <f t="shared" si="1"/>
        <v>0</v>
      </c>
    </row>
    <row r="20" spans="1:40" ht="23.25" customHeight="1">
      <c r="A20" s="1455">
        <v>16</v>
      </c>
      <c r="B20" s="3432" t="s">
        <v>1360</v>
      </c>
      <c r="C20" s="3433" t="s">
        <v>970</v>
      </c>
      <c r="D20" s="3433" t="s">
        <v>970</v>
      </c>
      <c r="E20" s="1516" t="s">
        <v>1381</v>
      </c>
      <c r="F20" s="1516" t="s">
        <v>10</v>
      </c>
      <c r="G20" s="1628" t="e">
        <f>'3.XT-C TT'!#REF!</f>
        <v>#REF!</v>
      </c>
      <c r="H20" s="1651" t="e">
        <f>'3.XT-C TT'!#REF!</f>
        <v>#REF!</v>
      </c>
      <c r="I20" s="1645" t="e">
        <f>'3.XT-C TT'!#REF!</f>
        <v>#REF!</v>
      </c>
      <c r="J20" s="1628" t="e">
        <f>'3.XT-C TT'!#REF!</f>
        <v>#REF!</v>
      </c>
      <c r="K20" s="1519"/>
      <c r="L20" s="1628" t="e">
        <f>'3.XT-C TT'!#REF!</f>
        <v>#REF!</v>
      </c>
      <c r="M20" s="1651" t="e">
        <f>'3.XT-C TT'!#REF!</f>
        <v>#REF!</v>
      </c>
      <c r="N20" s="1645" t="e">
        <f>'3.XT-C TT'!#REF!</f>
        <v>#REF!</v>
      </c>
      <c r="O20" s="1628" t="e">
        <f>'3.XT-C TT'!#REF!</f>
        <v>#REF!</v>
      </c>
      <c r="P20" s="1519"/>
      <c r="Q20" s="1628" t="e">
        <f>'3.XT-C TT'!#REF!</f>
        <v>#REF!</v>
      </c>
      <c r="R20" s="1651" t="e">
        <f>'3.XT-C TT'!#REF!</f>
        <v>#REF!</v>
      </c>
      <c r="S20" s="1645" t="e">
        <f>'3.XT-C TT'!#REF!</f>
        <v>#REF!</v>
      </c>
      <c r="T20" s="1628" t="e">
        <f>'3.XT-C TT'!#REF!</f>
        <v>#REF!</v>
      </c>
      <c r="U20" s="1519"/>
      <c r="V20" s="1628">
        <f>'3.XT-C TT(CA2)'!I21</f>
        <v>0</v>
      </c>
      <c r="W20" s="1651">
        <f>'3.XT-C TT(CA2)'!K21</f>
        <v>0</v>
      </c>
      <c r="X20" s="1645">
        <f>'3.XT-C TT(CA2)'!AB21</f>
        <v>0</v>
      </c>
      <c r="Y20" s="1628">
        <f>'3.XT-C TT(CA2)'!AD21</f>
        <v>0</v>
      </c>
      <c r="Z20" s="1628"/>
      <c r="AA20" s="1628">
        <f>'3.XT-C TT(CA2)'!M21</f>
        <v>0</v>
      </c>
      <c r="AB20" s="1651">
        <f>'3.XT-C TT(CA2)'!O21</f>
        <v>0</v>
      </c>
      <c r="AC20" s="1645">
        <f>'3.XT-C TT(CA2)'!AF21</f>
        <v>0</v>
      </c>
      <c r="AD20" s="1628">
        <f>'3.XT-C TT(CA2)'!AH21</f>
        <v>0</v>
      </c>
      <c r="AE20" s="1628"/>
      <c r="AF20" s="1628">
        <f>'3.XT-C TT(CA2)'!Q21</f>
        <v>0</v>
      </c>
      <c r="AG20" s="1651">
        <f>'3.XT-C TT(CA2)'!S21</f>
        <v>0</v>
      </c>
      <c r="AH20" s="1645">
        <f>'3.XT-C TT(CA2)'!AJ21</f>
        <v>0</v>
      </c>
      <c r="AI20" s="1628">
        <f>'3.XT-C TT(CA2)'!AL21</f>
        <v>0</v>
      </c>
      <c r="AJ20" s="1519"/>
      <c r="AK20" s="1532"/>
      <c r="AL20" s="1536" t="e">
        <f t="shared" si="0"/>
        <v>#REF!</v>
      </c>
      <c r="AM20" s="1536" t="e">
        <f t="shared" si="1"/>
        <v>#REF!</v>
      </c>
    </row>
    <row r="21" spans="1:40" s="19" customFormat="1" ht="23.25" customHeight="1">
      <c r="A21" s="1595">
        <v>17</v>
      </c>
      <c r="B21" s="3143" t="s">
        <v>1359</v>
      </c>
      <c r="C21" s="3144"/>
      <c r="D21" s="3144"/>
      <c r="E21" s="1657" t="s">
        <v>3</v>
      </c>
      <c r="F21" s="1657" t="s">
        <v>10</v>
      </c>
      <c r="G21" s="1658">
        <f>'3.XT-C TT'!I22</f>
        <v>7.4340000000000005E-3</v>
      </c>
      <c r="H21" s="1659">
        <f>'3.XT-C TT'!K22</f>
        <v>0</v>
      </c>
      <c r="I21" s="1660">
        <f>'3.XT-C TT'!AB22</f>
        <v>0</v>
      </c>
      <c r="J21" s="1628">
        <f>'3.XT-C TT'!AD22</f>
        <v>0</v>
      </c>
      <c r="K21" s="1661"/>
      <c r="L21" s="1658">
        <f>'3.XT-C TT'!M22</f>
        <v>7.0559999999999998E-3</v>
      </c>
      <c r="M21" s="1659">
        <f>'3.XT-C TT'!O22</f>
        <v>0</v>
      </c>
      <c r="N21" s="1660">
        <f>'3.XT-C TT'!AF22</f>
        <v>0</v>
      </c>
      <c r="O21" s="1628">
        <f>'3.XT-C TT'!AH22</f>
        <v>0</v>
      </c>
      <c r="P21" s="1661"/>
      <c r="Q21" s="1658">
        <f>'3.XT-C TT'!Q22</f>
        <v>7.3080000000000003E-3</v>
      </c>
      <c r="R21" s="1659">
        <f>'3.XT-C TT'!S22</f>
        <v>0</v>
      </c>
      <c r="S21" s="1660">
        <f>'3.XT-C TT'!AJ22</f>
        <v>0</v>
      </c>
      <c r="T21" s="1628">
        <f>'3.XT-C TT'!AL22</f>
        <v>0</v>
      </c>
      <c r="U21" s="1661"/>
      <c r="V21" s="1658">
        <f>'3.XT-C TT(CA2)'!I22</f>
        <v>0</v>
      </c>
      <c r="W21" s="1659">
        <f>'3.XT-C TT(CA2)'!K22</f>
        <v>0</v>
      </c>
      <c r="X21" s="1660">
        <f>'3.XT-C TT(CA2)'!AB22</f>
        <v>0</v>
      </c>
      <c r="Y21" s="1628">
        <f>'3.XT-C TT(CA2)'!AD22</f>
        <v>0</v>
      </c>
      <c r="Z21" s="1658"/>
      <c r="AA21" s="1658">
        <f>'3.XT-C TT(CA2)'!M22</f>
        <v>0</v>
      </c>
      <c r="AB21" s="1659">
        <f>'3.XT-C TT(CA2)'!O22</f>
        <v>0</v>
      </c>
      <c r="AC21" s="1660">
        <f>'3.XT-C TT(CA2)'!AF22</f>
        <v>0</v>
      </c>
      <c r="AD21" s="1628">
        <f>'3.XT-C TT(CA2)'!AH22</f>
        <v>0</v>
      </c>
      <c r="AE21" s="1658"/>
      <c r="AF21" s="1658">
        <f>'3.XT-C TT(CA2)'!Q22</f>
        <v>0</v>
      </c>
      <c r="AG21" s="1659">
        <f>'3.XT-C TT(CA2)'!S22</f>
        <v>0</v>
      </c>
      <c r="AH21" s="1660">
        <f>'3.XT-C TT(CA2)'!AJ22</f>
        <v>0</v>
      </c>
      <c r="AI21" s="1628">
        <f>'3.XT-C TT(CA2)'!AL22</f>
        <v>0</v>
      </c>
      <c r="AJ21" s="1661"/>
      <c r="AK21" s="1532"/>
      <c r="AL21" s="1662">
        <f t="shared" si="0"/>
        <v>0</v>
      </c>
      <c r="AM21" s="1662">
        <f t="shared" si="1"/>
        <v>0</v>
      </c>
    </row>
    <row r="22" spans="1:40" s="395" customFormat="1" ht="33.75" customHeight="1">
      <c r="A22" s="1455">
        <v>19</v>
      </c>
      <c r="B22" s="3395" t="s">
        <v>1358</v>
      </c>
      <c r="C22" s="3395"/>
      <c r="D22" s="3395"/>
      <c r="E22" s="1596" t="s">
        <v>3</v>
      </c>
      <c r="F22" s="1596" t="s">
        <v>10</v>
      </c>
      <c r="G22" s="1673"/>
      <c r="H22" s="1674"/>
      <c r="I22" s="1675"/>
      <c r="J22" s="1675"/>
      <c r="K22" s="1675"/>
      <c r="L22" s="52"/>
      <c r="M22" s="1682"/>
      <c r="N22" s="715"/>
      <c r="O22" s="715"/>
      <c r="P22" s="715"/>
      <c r="Q22" s="1676"/>
      <c r="R22" s="1674"/>
      <c r="S22" s="1675"/>
      <c r="T22" s="1675"/>
      <c r="U22" s="1675"/>
      <c r="V22" s="1676"/>
      <c r="W22" s="1674"/>
      <c r="X22" s="1675"/>
      <c r="Y22" s="1675"/>
      <c r="Z22" s="1675"/>
      <c r="AA22" s="52"/>
      <c r="AB22" s="1682"/>
      <c r="AC22" s="715"/>
      <c r="AD22" s="715"/>
      <c r="AE22" s="715"/>
      <c r="AF22" s="1676"/>
      <c r="AG22" s="1674">
        <f>'4.ZN-NI tt(CA2)'!S5</f>
        <v>0</v>
      </c>
      <c r="AH22" s="1675"/>
      <c r="AI22" s="1675"/>
      <c r="AJ22" s="1675"/>
      <c r="AK22" s="1675"/>
      <c r="AL22" s="1188">
        <f t="shared" si="0"/>
        <v>0</v>
      </c>
      <c r="AM22" s="1188">
        <f t="shared" si="1"/>
        <v>0</v>
      </c>
    </row>
    <row r="23" spans="1:40" s="1634" customFormat="1" ht="23.25" customHeight="1">
      <c r="A23" s="1663">
        <v>21</v>
      </c>
      <c r="B23" s="3521" t="s">
        <v>1357</v>
      </c>
      <c r="C23" s="3522"/>
      <c r="D23" s="1664" t="s">
        <v>115</v>
      </c>
      <c r="E23" s="1665" t="s">
        <v>4</v>
      </c>
      <c r="F23" s="1666" t="s">
        <v>1281</v>
      </c>
      <c r="G23" s="1677" t="str">
        <f>'4.ZN-NI tt(CA1)'!I6</f>
        <v/>
      </c>
      <c r="H23" s="1668" t="str">
        <f>'4.ZN-NI tt(CA1)'!K6</f>
        <v/>
      </c>
      <c r="I23" s="1668">
        <f>'4.ZN-NI tt(CA1)'!I20</f>
        <v>0</v>
      </c>
      <c r="J23" s="1668">
        <f>'4.ZN-NI tt(CA1)'!K20</f>
        <v>0</v>
      </c>
      <c r="K23" s="1678"/>
      <c r="L23" s="1687"/>
      <c r="M23" s="1688"/>
      <c r="N23" s="1689"/>
      <c r="O23" s="1690"/>
      <c r="P23" s="1691"/>
      <c r="Q23" s="1680" t="str">
        <f>'4.ZN-NI tt(CA1)'!Q6</f>
        <v/>
      </c>
      <c r="R23" s="1669" t="str">
        <f>'4.ZN-NI tt(CA1)'!K6</f>
        <v/>
      </c>
      <c r="S23" s="1668">
        <f>'4.ZN-NI tt(CA1)'!Q20</f>
        <v>0</v>
      </c>
      <c r="T23" s="1668">
        <f>'4.ZN-NI tt(CA1)'!S21</f>
        <v>0</v>
      </c>
      <c r="U23" s="1675"/>
      <c r="V23" s="1667" t="str">
        <f>'4.ZN-NI tt(CA2)'!I6</f>
        <v/>
      </c>
      <c r="W23" s="1670" t="str">
        <f>'4.ZN-NI tt(CA2)'!K6</f>
        <v/>
      </c>
      <c r="X23" s="1668">
        <f>'4.ZN-NI tt(CA2)'!I20</f>
        <v>0</v>
      </c>
      <c r="Y23" s="1668">
        <f>'4.ZN-NI tt(CA2)'!K20</f>
        <v>0</v>
      </c>
      <c r="Z23" s="1685"/>
      <c r="AA23" s="1699"/>
      <c r="AB23" s="1690"/>
      <c r="AC23" s="1690"/>
      <c r="AD23" s="1700"/>
      <c r="AE23" s="1701"/>
      <c r="AF23" s="1680" t="str">
        <f>'4.ZN-NI tt(CA2)'!Q6</f>
        <v/>
      </c>
      <c r="AG23" s="1669" t="str">
        <f>'4.ZN-NI tt(CA2)'!S6</f>
        <v/>
      </c>
      <c r="AH23" s="1668">
        <f>'4.ZN-NI tt(CA2)'!Q20</f>
        <v>0</v>
      </c>
      <c r="AI23" s="1668">
        <f>'4.ZN-NI tt(CA2)'!S20</f>
        <v>0</v>
      </c>
      <c r="AJ23" s="1580"/>
      <c r="AK23" s="1633"/>
      <c r="AL23" s="1671" t="e">
        <f>AG23+AB23+W23+R23+M23+H23</f>
        <v>#VALUE!</v>
      </c>
      <c r="AM23" s="1672">
        <f>AH23+AC23+X23+S23+N23+I23</f>
        <v>0</v>
      </c>
      <c r="AN23" s="1637"/>
    </row>
    <row r="24" spans="1:40" s="1634" customFormat="1" ht="23.25" customHeight="1">
      <c r="A24" s="1629">
        <v>22</v>
      </c>
      <c r="B24" s="3523"/>
      <c r="C24" s="3524"/>
      <c r="D24" s="1630" t="s">
        <v>99</v>
      </c>
      <c r="E24" s="1631" t="s">
        <v>4</v>
      </c>
      <c r="F24" s="1632" t="s">
        <v>1281</v>
      </c>
      <c r="G24" s="1628">
        <f>'4.ZN-NI tt(CA1)'!I7</f>
        <v>0</v>
      </c>
      <c r="H24" s="1520" t="str">
        <f>'4.ZN-NI tt(CA1)'!K7</f>
        <v/>
      </c>
      <c r="I24" s="1668">
        <f>'4.ZN-NI tt(CA1)'!I21</f>
        <v>0</v>
      </c>
      <c r="J24" s="1520">
        <f>'4.ZN-NI tt(CA1)'!K21</f>
        <v>0</v>
      </c>
      <c r="K24" s="1636"/>
      <c r="L24" s="1692"/>
      <c r="M24" s="1683"/>
      <c r="N24" s="1684"/>
      <c r="O24" s="1532"/>
      <c r="P24" s="1693"/>
      <c r="Q24" s="1681">
        <f>'4.ZN-NI tt(CA1)'!Q7</f>
        <v>0</v>
      </c>
      <c r="R24" s="1652" t="str">
        <f>'4.ZN-NI tt(CA1)'!K7</f>
        <v/>
      </c>
      <c r="S24" s="1520">
        <f>'4.ZN-NI tt(CA1)'!Q21</f>
        <v>0</v>
      </c>
      <c r="T24" s="1520">
        <f>'4.ZN-NI tt(CA1)'!S22</f>
        <v>0</v>
      </c>
      <c r="U24" s="1675"/>
      <c r="V24" s="1521">
        <f>'4.ZN-NI tt(CA2)'!I7</f>
        <v>0</v>
      </c>
      <c r="W24" s="1651" t="str">
        <f>'4.ZN-NI tt(CA2)'!K7</f>
        <v/>
      </c>
      <c r="X24" s="1520">
        <f>'4.ZN-NI tt(CA2)'!I21</f>
        <v>0</v>
      </c>
      <c r="Y24" s="1520">
        <f>'4.ZN-NI tt(CA2)'!K21</f>
        <v>0</v>
      </c>
      <c r="Z24" s="1600"/>
      <c r="AA24" s="1702"/>
      <c r="AB24" s="1532"/>
      <c r="AC24" s="1532"/>
      <c r="AD24" s="1533"/>
      <c r="AE24" s="1703"/>
      <c r="AF24" s="1681">
        <f>'4.ZN-NI tt(CA2)'!Q7</f>
        <v>0</v>
      </c>
      <c r="AG24" s="1652" t="str">
        <f>'4.ZN-NI tt(CA2)'!S7</f>
        <v/>
      </c>
      <c r="AH24" s="1520">
        <f>'4.ZN-NI tt(CA2)'!Q21</f>
        <v>0</v>
      </c>
      <c r="AI24" s="1520">
        <f>'4.ZN-NI tt(CA2)'!S21</f>
        <v>0</v>
      </c>
      <c r="AJ24" s="1594"/>
      <c r="AK24" s="1633"/>
      <c r="AL24" s="1188" t="e">
        <f t="shared" ref="AL24:AM25" si="2">AG24+AB24+W24+R24+M24+H24</f>
        <v>#VALUE!</v>
      </c>
      <c r="AM24" s="1656">
        <f t="shared" si="2"/>
        <v>0</v>
      </c>
    </row>
    <row r="25" spans="1:40" s="1634" customFormat="1" ht="23.25" customHeight="1">
      <c r="A25" s="1629">
        <v>23</v>
      </c>
      <c r="B25" s="3525" t="s">
        <v>1356</v>
      </c>
      <c r="C25" s="3526"/>
      <c r="D25" s="3527"/>
      <c r="E25" s="1632" t="s">
        <v>3</v>
      </c>
      <c r="F25" s="1632" t="s">
        <v>10</v>
      </c>
      <c r="G25" s="1628">
        <f>'4.ZN-NI tt(CA1)'!I8</f>
        <v>0</v>
      </c>
      <c r="H25" s="1520">
        <f>'4.ZN-NI tt(CA1)'!K8</f>
        <v>0</v>
      </c>
      <c r="I25" s="1668">
        <f>'4.ZN-NI tt(CA1)'!I22</f>
        <v>0</v>
      </c>
      <c r="J25" s="1520">
        <f>'4.ZN-NI tt(CA1)'!K22</f>
        <v>0</v>
      </c>
      <c r="K25" s="1679"/>
      <c r="L25" s="1694"/>
      <c r="M25" s="1695"/>
      <c r="N25" s="1696"/>
      <c r="O25" s="1697"/>
      <c r="P25" s="1698"/>
      <c r="Q25" s="1681">
        <f>'4.ZN-NI tt(CA1)'!Q8</f>
        <v>0</v>
      </c>
      <c r="R25" s="1652">
        <f>'4.ZN-NI tt(CA1)'!K8</f>
        <v>0</v>
      </c>
      <c r="S25" s="1520">
        <f>'4.ZN-NI tt(CA1)'!Q22</f>
        <v>0</v>
      </c>
      <c r="T25" s="1520">
        <f>'4.ZN-NI tt(CA1)'!S23</f>
        <v>0</v>
      </c>
      <c r="U25" s="1675"/>
      <c r="V25" s="1521">
        <f>'4.ZN-NI tt(CA2)'!I8</f>
        <v>0</v>
      </c>
      <c r="W25" s="1651">
        <f>'4.ZN-NI tt(CA2)'!K8</f>
        <v>0</v>
      </c>
      <c r="X25" s="1520">
        <f>'4.ZN-NI tt(CA2)'!I22</f>
        <v>0</v>
      </c>
      <c r="Y25" s="1520">
        <f>'4.ZN-NI tt(CA2)'!K22</f>
        <v>0</v>
      </c>
      <c r="Z25" s="1686"/>
      <c r="AA25" s="1704"/>
      <c r="AB25" s="1697"/>
      <c r="AC25" s="1697"/>
      <c r="AD25" s="1705"/>
      <c r="AE25" s="1706"/>
      <c r="AF25" s="1681">
        <f>'4.ZN-NI tt(CA2)'!Q8</f>
        <v>0</v>
      </c>
      <c r="AG25" s="1652">
        <f>'4.ZN-NI tt(CA2)'!S8</f>
        <v>0</v>
      </c>
      <c r="AH25" s="1520">
        <f>'4.ZN-NI tt(CA2)'!Q22</f>
        <v>0</v>
      </c>
      <c r="AI25" s="1520">
        <f>'4.ZN-NI tt(CA2)'!S22</f>
        <v>0</v>
      </c>
      <c r="AJ25" s="1519"/>
      <c r="AK25" s="1633"/>
      <c r="AL25" s="1656">
        <f t="shared" si="2"/>
        <v>0</v>
      </c>
      <c r="AM25" s="1656">
        <f t="shared" si="2"/>
        <v>0</v>
      </c>
    </row>
  </sheetData>
  <sheetProtection selectLockedCells="1"/>
  <mergeCells count="28">
    <mergeCell ref="V4:Z4"/>
    <mergeCell ref="AA4:AE4"/>
    <mergeCell ref="AF4:AJ4"/>
    <mergeCell ref="Q4:U4"/>
    <mergeCell ref="B3:E3"/>
    <mergeCell ref="A4:A5"/>
    <mergeCell ref="E4:E5"/>
    <mergeCell ref="G4:K4"/>
    <mergeCell ref="L4:P4"/>
    <mergeCell ref="B5:C5"/>
    <mergeCell ref="D4:D5"/>
    <mergeCell ref="F4:F5"/>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s>
  <pageMargins left="0.3" right="0" top="0" bottom="0" header="0" footer="0"/>
  <pageSetup paperSize="9" scale="55" orientation="landscape" verticalDpi="300" r:id="rId1"/>
  <headerFooter scaleWithDoc="0" alignWithMargins="0"/>
  <drawing r:id="rId2"/>
</worksheet>
</file>

<file path=xl/worksheets/sheet29.xml><?xml version="1.0" encoding="utf-8"?>
<worksheet xmlns="http://schemas.openxmlformats.org/spreadsheetml/2006/main" xmlns:r="http://schemas.openxmlformats.org/officeDocument/2006/relationships">
  <sheetPr codeName="Sheet18">
    <tabColor rgb="FF7030A0"/>
  </sheetPr>
  <dimension ref="A1:O35"/>
  <sheetViews>
    <sheetView zoomScale="70" zoomScaleNormal="70" workbookViewId="0">
      <selection activeCell="I14" sqref="I14:L20"/>
    </sheetView>
  </sheetViews>
  <sheetFormatPr defaultRowHeight="28.5" customHeight="1"/>
  <cols>
    <col min="1" max="1" width="6.375" style="330" customWidth="1"/>
    <col min="2" max="2" width="15.375" style="330" customWidth="1"/>
    <col min="3" max="3" width="16.5" style="330" customWidth="1"/>
    <col min="4" max="4" width="15.375" style="330" customWidth="1"/>
    <col min="5" max="5" width="12.125" style="330" customWidth="1"/>
    <col min="6" max="6" width="15.375" style="330" customWidth="1"/>
    <col min="7" max="7" width="4.875" style="330" customWidth="1"/>
    <col min="8" max="8" width="6.75" style="374" customWidth="1"/>
    <col min="9" max="9" width="14.625" style="374" customWidth="1"/>
    <col min="10" max="10" width="14.125" style="374" customWidth="1"/>
    <col min="11" max="11" width="16.5" style="374" customWidth="1"/>
    <col min="12" max="12" width="11.875" style="374" customWidth="1"/>
    <col min="13" max="13" width="9.875" style="374" customWidth="1"/>
    <col min="14" max="14" width="7" style="330" customWidth="1"/>
    <col min="15" max="16384" width="9" style="330"/>
  </cols>
  <sheetData>
    <row r="1" spans="1:14" ht="28.5" customHeight="1">
      <c r="A1" s="329" t="s">
        <v>358</v>
      </c>
      <c r="H1" s="331" t="s">
        <v>359</v>
      </c>
      <c r="I1" s="332"/>
      <c r="J1" s="332"/>
      <c r="K1" s="332"/>
      <c r="L1" s="332"/>
      <c r="M1" s="332"/>
      <c r="N1" s="332"/>
    </row>
    <row r="2" spans="1:14" ht="28.5" customHeight="1">
      <c r="A2" s="333"/>
      <c r="B2" s="334" t="s">
        <v>360</v>
      </c>
      <c r="C2" s="335"/>
      <c r="D2" s="335"/>
      <c r="E2" s="335"/>
      <c r="F2" s="335"/>
      <c r="H2" s="332"/>
      <c r="I2" s="336"/>
      <c r="J2" s="332"/>
      <c r="K2" s="332"/>
      <c r="L2" s="332"/>
      <c r="M2" s="332"/>
      <c r="N2" s="332"/>
    </row>
    <row r="3" spans="1:14" s="340" customFormat="1" ht="33" customHeight="1">
      <c r="A3" s="337" t="s">
        <v>361</v>
      </c>
      <c r="B3" s="338" t="s">
        <v>362</v>
      </c>
      <c r="C3" s="338" t="s">
        <v>363</v>
      </c>
      <c r="D3" s="338" t="s">
        <v>364</v>
      </c>
      <c r="E3" s="338" t="s">
        <v>365</v>
      </c>
      <c r="F3" s="339" t="s">
        <v>3</v>
      </c>
      <c r="H3" s="341" t="s">
        <v>361</v>
      </c>
      <c r="I3" s="342" t="s">
        <v>362</v>
      </c>
      <c r="J3" s="342" t="s">
        <v>363</v>
      </c>
      <c r="K3" s="342" t="s">
        <v>364</v>
      </c>
      <c r="L3" s="342" t="s">
        <v>365</v>
      </c>
      <c r="M3" s="42" t="s">
        <v>3</v>
      </c>
      <c r="N3" s="343"/>
    </row>
    <row r="4" spans="1:14" ht="25.5" customHeight="1">
      <c r="A4" s="344">
        <v>1</v>
      </c>
      <c r="B4" s="345">
        <v>0.15629999999999999</v>
      </c>
      <c r="C4" s="345">
        <v>1.2377</v>
      </c>
      <c r="D4" s="345">
        <v>0.34239999999999998</v>
      </c>
      <c r="E4" s="344">
        <f>D4-B4</f>
        <v>0.18609999999999999</v>
      </c>
      <c r="F4" s="346">
        <f>E4/C4</f>
        <v>0.15035953785246828</v>
      </c>
      <c r="H4" s="347">
        <v>1</v>
      </c>
      <c r="I4" s="348">
        <v>0.1507</v>
      </c>
      <c r="J4" s="348">
        <v>1.2210000000000001</v>
      </c>
      <c r="K4" s="348">
        <v>0.156</v>
      </c>
      <c r="L4" s="347">
        <f>K4-I4</f>
        <v>5.2999999999999992E-3</v>
      </c>
      <c r="M4" s="349">
        <f>L4/J4</f>
        <v>4.3407043407043397E-3</v>
      </c>
      <c r="N4" s="332"/>
    </row>
    <row r="5" spans="1:14" ht="25.5" customHeight="1">
      <c r="A5" s="344">
        <v>2</v>
      </c>
      <c r="B5" s="345"/>
      <c r="C5" s="345"/>
      <c r="D5" s="345"/>
      <c r="E5" s="344">
        <f>D5-B5</f>
        <v>0</v>
      </c>
      <c r="F5" s="346"/>
      <c r="H5" s="347">
        <v>2</v>
      </c>
      <c r="I5" s="348"/>
      <c r="J5" s="348"/>
      <c r="K5" s="348"/>
      <c r="L5" s="347">
        <f>K5-I5</f>
        <v>0</v>
      </c>
      <c r="M5" s="349"/>
      <c r="N5" s="332"/>
    </row>
    <row r="6" spans="1:14" ht="28.5" customHeight="1">
      <c r="A6" s="350"/>
      <c r="B6" s="350"/>
      <c r="C6" s="350"/>
      <c r="D6" s="350"/>
      <c r="E6" s="350"/>
      <c r="F6" s="351">
        <f>AVERAGE(F4:F5)</f>
        <v>0.15035953785246828</v>
      </c>
      <c r="H6" s="352"/>
      <c r="I6" s="352"/>
      <c r="J6" s="352"/>
      <c r="K6" s="352"/>
      <c r="L6" s="352"/>
      <c r="M6" s="353">
        <f>AVERAGE(M4:M5)</f>
        <v>4.3407043407043397E-3</v>
      </c>
      <c r="N6" s="332"/>
    </row>
    <row r="7" spans="1:14" s="357" customFormat="1" ht="28.5" customHeight="1">
      <c r="A7" s="354"/>
      <c r="B7" s="355" t="s">
        <v>366</v>
      </c>
      <c r="C7" s="354"/>
      <c r="D7" s="354"/>
      <c r="E7" s="354"/>
      <c r="F7" s="356"/>
      <c r="H7" s="331" t="s">
        <v>367</v>
      </c>
      <c r="I7" s="336"/>
      <c r="J7" s="358"/>
      <c r="K7" s="358"/>
      <c r="L7" s="358"/>
      <c r="M7" s="359"/>
      <c r="N7" s="360"/>
    </row>
    <row r="8" spans="1:14" ht="36" customHeight="1">
      <c r="A8" s="361" t="s">
        <v>361</v>
      </c>
      <c r="B8" s="362" t="s">
        <v>362</v>
      </c>
      <c r="C8" s="362" t="s">
        <v>363</v>
      </c>
      <c r="D8" s="362" t="s">
        <v>364</v>
      </c>
      <c r="E8" s="362" t="s">
        <v>365</v>
      </c>
      <c r="F8" s="272" t="s">
        <v>3</v>
      </c>
      <c r="H8" s="341" t="s">
        <v>361</v>
      </c>
      <c r="I8" s="342" t="s">
        <v>362</v>
      </c>
      <c r="J8" s="342" t="s">
        <v>363</v>
      </c>
      <c r="K8" s="342" t="s">
        <v>364</v>
      </c>
      <c r="L8" s="342" t="s">
        <v>365</v>
      </c>
      <c r="M8" s="42" t="s">
        <v>3</v>
      </c>
      <c r="N8" s="332"/>
    </row>
    <row r="9" spans="1:14" ht="25.5" customHeight="1">
      <c r="A9" s="363">
        <v>1</v>
      </c>
      <c r="B9" s="364"/>
      <c r="C9" s="364"/>
      <c r="D9" s="364"/>
      <c r="E9" s="363">
        <f>D9-B9</f>
        <v>0</v>
      </c>
      <c r="F9" s="365" t="e">
        <f>E9/C9</f>
        <v>#DIV/0!</v>
      </c>
      <c r="H9" s="347">
        <v>1</v>
      </c>
      <c r="I9" s="348">
        <v>0.14410000000000001</v>
      </c>
      <c r="J9" s="348">
        <v>1.2296</v>
      </c>
      <c r="K9" s="348">
        <v>0.1474</v>
      </c>
      <c r="L9" s="347">
        <f>K9-I9</f>
        <v>3.2999999999999974E-3</v>
      </c>
      <c r="M9" s="349">
        <f>L9/J9</f>
        <v>2.6837996096291455E-3</v>
      </c>
      <c r="N9" s="332"/>
    </row>
    <row r="10" spans="1:14" ht="25.5" customHeight="1">
      <c r="A10" s="363">
        <v>2</v>
      </c>
      <c r="B10" s="364"/>
      <c r="C10" s="364"/>
      <c r="D10" s="364"/>
      <c r="E10" s="363">
        <f>D10-B10</f>
        <v>0</v>
      </c>
      <c r="F10" s="365"/>
      <c r="H10" s="347">
        <v>2</v>
      </c>
      <c r="I10" s="348"/>
      <c r="J10" s="348"/>
      <c r="K10" s="348"/>
      <c r="L10" s="347">
        <f>K10-I10</f>
        <v>0</v>
      </c>
      <c r="M10" s="349"/>
      <c r="N10" s="332"/>
    </row>
    <row r="11" spans="1:14" ht="28.5" customHeight="1">
      <c r="A11" s="366"/>
      <c r="B11" s="366"/>
      <c r="C11" s="366"/>
      <c r="D11" s="366"/>
      <c r="E11" s="366"/>
      <c r="F11" s="367" t="e">
        <f>AVERAGE(F9:F10)</f>
        <v>#DIV/0!</v>
      </c>
      <c r="H11" s="352"/>
      <c r="I11" s="352"/>
      <c r="J11" s="352"/>
      <c r="K11" s="352"/>
      <c r="L11" s="352"/>
      <c r="M11" s="359">
        <f>AVERAGE(M9:M10)</f>
        <v>2.6837996096291455E-3</v>
      </c>
      <c r="N11" s="2715">
        <f>IF(M11&lt;0,0,M11)</f>
        <v>2.6837996096291455E-3</v>
      </c>
    </row>
    <row r="12" spans="1:14" ht="28.5" customHeight="1">
      <c r="A12" s="329" t="s">
        <v>368</v>
      </c>
      <c r="H12" s="332"/>
      <c r="I12" s="332"/>
      <c r="J12" s="332"/>
      <c r="K12" s="332"/>
      <c r="L12" s="332"/>
      <c r="M12" s="332"/>
      <c r="N12" s="332"/>
    </row>
    <row r="13" spans="1:14" ht="28.5" customHeight="1">
      <c r="A13" s="335"/>
      <c r="B13" s="334" t="s">
        <v>369</v>
      </c>
      <c r="C13" s="335"/>
      <c r="D13" s="335"/>
      <c r="E13" s="335"/>
      <c r="F13" s="335"/>
      <c r="H13" s="330"/>
      <c r="I13" s="330"/>
      <c r="J13" s="330"/>
      <c r="K13" s="330"/>
      <c r="L13" s="330"/>
      <c r="M13" s="330"/>
    </row>
    <row r="14" spans="1:14" ht="33.75" customHeight="1">
      <c r="A14" s="337" t="s">
        <v>361</v>
      </c>
      <c r="B14" s="338" t="s">
        <v>362</v>
      </c>
      <c r="C14" s="338" t="s">
        <v>370</v>
      </c>
      <c r="D14" s="338" t="s">
        <v>364</v>
      </c>
      <c r="E14" s="338" t="s">
        <v>365</v>
      </c>
      <c r="F14" s="339" t="s">
        <v>3</v>
      </c>
      <c r="H14" s="330"/>
      <c r="I14" s="2719" t="str">
        <f>MENU!$AC$9</f>
        <v>Thứ 5,</v>
      </c>
      <c r="J14" s="2720" t="str">
        <f>MENU!$AD$9</f>
        <v>2024/08/01</v>
      </c>
      <c r="K14" s="2722" t="s">
        <v>1601</v>
      </c>
      <c r="L14" s="2717" t="s">
        <v>1602</v>
      </c>
      <c r="M14" s="3535" t="s">
        <v>1600</v>
      </c>
      <c r="N14" s="3535"/>
    </row>
    <row r="15" spans="1:14" ht="28.5" customHeight="1">
      <c r="A15" s="344">
        <v>1</v>
      </c>
      <c r="B15" s="345">
        <v>20.7883</v>
      </c>
      <c r="C15" s="345">
        <v>2.5695000000000001</v>
      </c>
      <c r="D15" s="345"/>
      <c r="E15" s="344">
        <f>D15-B15</f>
        <v>-20.7883</v>
      </c>
      <c r="F15" s="346">
        <f>E15/C15</f>
        <v>-8.0904066939093209</v>
      </c>
      <c r="H15" s="330"/>
      <c r="I15" s="3538" t="s">
        <v>371</v>
      </c>
      <c r="J15" s="3539"/>
      <c r="K15" s="2723" t="s">
        <v>372</v>
      </c>
      <c r="L15" s="368">
        <f>IFERROR(IF(F6&lt;0,"",F6),"")</f>
        <v>0.15035953785246828</v>
      </c>
      <c r="M15" s="2721">
        <f>'R.GUI MAIL'!K67</f>
        <v>0</v>
      </c>
      <c r="N15" s="2716" t="s">
        <v>10</v>
      </c>
    </row>
    <row r="16" spans="1:14" ht="28.5" customHeight="1">
      <c r="A16" s="344">
        <v>2</v>
      </c>
      <c r="B16" s="345">
        <v>23.4314</v>
      </c>
      <c r="C16" s="345">
        <v>2.5164</v>
      </c>
      <c r="D16" s="345"/>
      <c r="E16" s="344">
        <f>D16-B16</f>
        <v>-23.4314</v>
      </c>
      <c r="F16" s="346">
        <f>E16/C16</f>
        <v>-9.3114767127642661</v>
      </c>
      <c r="H16" s="330"/>
      <c r="I16" s="3538" t="s">
        <v>373</v>
      </c>
      <c r="J16" s="3539"/>
      <c r="K16" s="2723" t="s">
        <v>374</v>
      </c>
      <c r="L16" s="368" t="str">
        <f>IFERROR(IF(F19&lt;0,"",F19),"")</f>
        <v/>
      </c>
      <c r="M16" s="2721" t="str">
        <f>'R.GUI MAIL'!K68</f>
        <v/>
      </c>
      <c r="N16" s="2716" t="s">
        <v>10</v>
      </c>
    </row>
    <row r="17" spans="1:15" ht="28.5" hidden="1" customHeight="1">
      <c r="A17" s="344">
        <v>3</v>
      </c>
      <c r="B17" s="345"/>
      <c r="C17" s="345"/>
      <c r="D17" s="345"/>
      <c r="E17" s="344">
        <f>D17-B17</f>
        <v>0</v>
      </c>
      <c r="F17" s="346"/>
      <c r="H17" s="330"/>
      <c r="I17" s="3540" t="s">
        <v>375</v>
      </c>
      <c r="J17" s="3541"/>
      <c r="K17" s="2724" t="s">
        <v>372</v>
      </c>
      <c r="L17" s="369" t="str">
        <f>IFERROR(IF(F11&lt;0,"",F11),"")</f>
        <v/>
      </c>
      <c r="M17" s="2718"/>
      <c r="N17" s="2717"/>
    </row>
    <row r="18" spans="1:15" ht="28.5" hidden="1" customHeight="1">
      <c r="A18" s="370"/>
      <c r="B18" s="370"/>
      <c r="C18" s="370"/>
      <c r="D18" s="370"/>
      <c r="E18" s="370"/>
      <c r="F18" s="371">
        <f>AVERAGE(F15:F17)/0.8095</f>
        <v>-10.748538237599497</v>
      </c>
      <c r="H18" s="330"/>
      <c r="I18" s="3540" t="s">
        <v>376</v>
      </c>
      <c r="J18" s="3541"/>
      <c r="K18" s="2724" t="s">
        <v>374</v>
      </c>
      <c r="L18" s="369" t="str">
        <f>IFERROR(IF(F26&lt;0,"",F26),"")</f>
        <v/>
      </c>
      <c r="M18" s="2718"/>
      <c r="N18" s="2717"/>
    </row>
    <row r="19" spans="1:15" ht="28.5" customHeight="1">
      <c r="A19" s="350"/>
      <c r="B19" s="372"/>
      <c r="C19" s="372"/>
      <c r="D19" s="372"/>
      <c r="E19" s="350"/>
      <c r="F19" s="351">
        <f>F18/(F6-F18)</f>
        <v>-0.98620415192891075</v>
      </c>
      <c r="H19" s="330"/>
      <c r="I19" s="3536" t="s">
        <v>377</v>
      </c>
      <c r="J19" s="3537"/>
      <c r="K19" s="2725" t="s">
        <v>378</v>
      </c>
      <c r="L19" s="373">
        <f>IFERROR(M6,"")</f>
        <v>4.3407043407043397E-3</v>
      </c>
      <c r="M19" s="2718"/>
      <c r="N19" s="2717"/>
    </row>
    <row r="20" spans="1:15" ht="28.5" customHeight="1">
      <c r="A20" s="374"/>
      <c r="B20" s="375" t="s">
        <v>379</v>
      </c>
      <c r="C20" s="376"/>
      <c r="D20" s="376"/>
      <c r="E20" s="374"/>
      <c r="F20" s="374"/>
      <c r="I20" s="3536" t="s">
        <v>380</v>
      </c>
      <c r="J20" s="3537"/>
      <c r="K20" s="2725" t="s">
        <v>381</v>
      </c>
      <c r="L20" s="373">
        <f>IFERROR(N11,"")</f>
        <v>2.6837996096291455E-3</v>
      </c>
      <c r="M20" s="2718"/>
      <c r="N20" s="2717"/>
    </row>
    <row r="21" spans="1:15" ht="36.75" customHeight="1">
      <c r="A21" s="361" t="s">
        <v>361</v>
      </c>
      <c r="B21" s="362" t="s">
        <v>362</v>
      </c>
      <c r="C21" s="362" t="s">
        <v>370</v>
      </c>
      <c r="D21" s="377" t="s">
        <v>364</v>
      </c>
      <c r="E21" s="362" t="s">
        <v>365</v>
      </c>
      <c r="F21" s="272" t="s">
        <v>3</v>
      </c>
    </row>
    <row r="22" spans="1:15" ht="24" customHeight="1">
      <c r="A22" s="363">
        <v>1</v>
      </c>
      <c r="B22" s="364"/>
      <c r="C22" s="364"/>
      <c r="D22" s="364"/>
      <c r="E22" s="363">
        <f>D22-B22</f>
        <v>0</v>
      </c>
      <c r="F22" s="365" t="e">
        <f>E22/C22</f>
        <v>#DIV/0!</v>
      </c>
    </row>
    <row r="23" spans="1:15" ht="24" customHeight="1">
      <c r="A23" s="363">
        <v>2</v>
      </c>
      <c r="B23" s="364"/>
      <c r="C23" s="364"/>
      <c r="D23" s="364"/>
      <c r="E23" s="363">
        <f>D23-B23</f>
        <v>0</v>
      </c>
      <c r="F23" s="365" t="e">
        <f>E23/C23</f>
        <v>#DIV/0!</v>
      </c>
    </row>
    <row r="24" spans="1:15" ht="24" customHeight="1">
      <c r="A24" s="363">
        <v>3</v>
      </c>
      <c r="B24" s="364"/>
      <c r="C24" s="364"/>
      <c r="D24" s="364"/>
      <c r="E24" s="363">
        <f>D24-B24</f>
        <v>0</v>
      </c>
      <c r="F24" s="365"/>
    </row>
    <row r="25" spans="1:15" ht="26.25" customHeight="1">
      <c r="A25" s="378"/>
      <c r="B25" s="378"/>
      <c r="C25" s="378"/>
      <c r="D25" s="378"/>
      <c r="E25" s="378"/>
      <c r="F25" s="379" t="e">
        <f>AVERAGE(F22:F24)/0.8095</f>
        <v>#DIV/0!</v>
      </c>
    </row>
    <row r="26" spans="1:15" ht="28.5" customHeight="1">
      <c r="A26" s="366"/>
      <c r="B26" s="366"/>
      <c r="C26" s="366"/>
      <c r="D26" s="366"/>
      <c r="E26" s="366"/>
      <c r="F26" s="367" t="e">
        <f>F25/(F11-F25)</f>
        <v>#DIV/0!</v>
      </c>
      <c r="O26" s="366"/>
    </row>
    <row r="27" spans="1:15" ht="28.5" customHeight="1">
      <c r="A27" s="380"/>
    </row>
    <row r="29" spans="1:15" ht="36" customHeight="1">
      <c r="B29" s="2752" t="s">
        <v>1609</v>
      </c>
      <c r="C29" s="2752" t="s">
        <v>1610</v>
      </c>
      <c r="D29" s="2752" t="s">
        <v>1611</v>
      </c>
      <c r="E29" s="2752" t="s">
        <v>1612</v>
      </c>
      <c r="F29" s="2752" t="s">
        <v>1613</v>
      </c>
    </row>
    <row r="30" spans="1:15" ht="28.5" customHeight="1">
      <c r="B30" s="2752" t="s">
        <v>1622</v>
      </c>
      <c r="C30" s="2751">
        <v>0.40625</v>
      </c>
      <c r="D30" s="2752" t="s">
        <v>1614</v>
      </c>
      <c r="E30" s="2753" t="s">
        <v>1615</v>
      </c>
      <c r="F30" s="2754">
        <f>C30+ TIME(0,45,0)</f>
        <v>0.4375</v>
      </c>
    </row>
    <row r="31" spans="1:15" ht="28.5" customHeight="1">
      <c r="B31" s="2752" t="s">
        <v>1623</v>
      </c>
      <c r="C31" s="2754">
        <f>F30</f>
        <v>0.4375</v>
      </c>
      <c r="D31" s="2752" t="s">
        <v>1616</v>
      </c>
      <c r="E31" s="2753" t="s">
        <v>1614</v>
      </c>
      <c r="F31" s="2754">
        <f>C31+ TIME(0,20,0)</f>
        <v>0.4513888888888889</v>
      </c>
      <c r="G31" s="374"/>
    </row>
    <row r="32" spans="1:15" ht="28.5" customHeight="1">
      <c r="B32" s="2752" t="s">
        <v>1624</v>
      </c>
      <c r="C32" s="2754">
        <f>F31</f>
        <v>0.4513888888888889</v>
      </c>
      <c r="D32" s="2752" t="s">
        <v>1617</v>
      </c>
      <c r="E32" s="2753" t="s">
        <v>1614</v>
      </c>
      <c r="F32" s="2754">
        <f>C32+ TIME(0,25,0)</f>
        <v>0.46875</v>
      </c>
      <c r="G32" s="374"/>
    </row>
    <row r="33" spans="2:7" ht="28.5" customHeight="1">
      <c r="B33" s="2752" t="s">
        <v>1625</v>
      </c>
      <c r="C33" s="2754">
        <f>F32</f>
        <v>0.46875</v>
      </c>
      <c r="D33" s="2752" t="s">
        <v>1621</v>
      </c>
      <c r="E33" s="2753" t="s">
        <v>1618</v>
      </c>
      <c r="F33" s="2754">
        <f>C33+ TIME(5,0,0)</f>
        <v>0.67708333333333337</v>
      </c>
      <c r="G33" s="374"/>
    </row>
    <row r="34" spans="2:7" ht="28.5" customHeight="1">
      <c r="B34" s="2755"/>
      <c r="C34" s="2756">
        <f>F33</f>
        <v>0.67708333333333337</v>
      </c>
      <c r="D34" s="2757" t="s">
        <v>1619</v>
      </c>
      <c r="E34" s="2758"/>
      <c r="F34" s="2759"/>
    </row>
    <row r="35" spans="2:7" ht="28.5" customHeight="1">
      <c r="B35" s="2760"/>
      <c r="C35" s="2761">
        <f>C34+ TIME(1,0,0)</f>
        <v>0.71875</v>
      </c>
      <c r="D35" s="2762" t="s">
        <v>1620</v>
      </c>
      <c r="E35" s="2763"/>
      <c r="F35" s="2764"/>
    </row>
  </sheetData>
  <sheetProtection sheet="1" objects="1" scenarios="1" formatCells="0" formatColumns="0" formatRows="0" insertColumns="0" insertRows="0" insertHyperlinks="0" deleteColumns="0" deleteRows="0" selectLockedCells="1" sort="0" autoFilter="0" pivotTables="0"/>
  <mergeCells count="7">
    <mergeCell ref="M14:N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30.xml><?xml version="1.0" encoding="utf-8"?>
<worksheet xmlns="http://schemas.openxmlformats.org/spreadsheetml/2006/main" xmlns:r="http://schemas.openxmlformats.org/officeDocument/2006/relationships">
  <sheetPr codeName="Sheet19">
    <tabColor rgb="FF7030A0"/>
  </sheetPr>
  <dimension ref="A1:H62"/>
  <sheetViews>
    <sheetView workbookViewId="0">
      <selection activeCell="H25" sqref="H25"/>
    </sheetView>
  </sheetViews>
  <sheetFormatPr defaultRowHeight="15" customHeight="1"/>
  <cols>
    <col min="1" max="1" width="31.875" style="1" customWidth="1"/>
    <col min="2" max="2" width="3.625" style="1" customWidth="1"/>
    <col min="3" max="3" width="6.25" style="1076" customWidth="1"/>
    <col min="4" max="8" width="6.25" style="1" customWidth="1"/>
    <col min="9" max="16384" width="9" style="1073"/>
  </cols>
  <sheetData>
    <row r="1" spans="1:8" ht="18" customHeight="1">
      <c r="A1" s="1066" t="s">
        <v>382</v>
      </c>
      <c r="B1" s="1066"/>
      <c r="C1" s="1071" t="s">
        <v>401</v>
      </c>
      <c r="D1" s="1072" t="s">
        <v>1449</v>
      </c>
      <c r="E1" s="1072" t="s">
        <v>1450</v>
      </c>
      <c r="F1" s="1072" t="s">
        <v>1451</v>
      </c>
      <c r="G1" s="1072" t="s">
        <v>1452</v>
      </c>
      <c r="H1" s="1072" t="s">
        <v>1456</v>
      </c>
    </row>
    <row r="2" spans="1:8" ht="15" customHeight="1">
      <c r="A2" s="3543" t="s">
        <v>1015</v>
      </c>
      <c r="B2" s="3544"/>
      <c r="C2" s="381"/>
      <c r="D2" s="381"/>
      <c r="E2" s="381"/>
      <c r="F2" s="381"/>
      <c r="G2" s="381"/>
      <c r="H2" s="381"/>
    </row>
    <row r="3" spans="1:8" ht="15" hidden="1" customHeight="1">
      <c r="A3" s="3543" t="s">
        <v>389</v>
      </c>
      <c r="B3" s="3544"/>
      <c r="C3" s="382"/>
      <c r="D3" s="382"/>
      <c r="E3" s="382"/>
      <c r="F3" s="382"/>
      <c r="G3" s="382"/>
      <c r="H3" s="382"/>
    </row>
    <row r="4" spans="1:8" ht="15" customHeight="1">
      <c r="A4" s="383" t="s">
        <v>390</v>
      </c>
      <c r="B4" s="3545">
        <v>3</v>
      </c>
      <c r="C4" s="382"/>
      <c r="D4" s="382"/>
      <c r="E4" s="382"/>
      <c r="F4" s="382"/>
      <c r="G4" s="382"/>
      <c r="H4" s="382"/>
    </row>
    <row r="5" spans="1:8" ht="15" customHeight="1">
      <c r="A5" s="384" t="s">
        <v>391</v>
      </c>
      <c r="B5" s="3546"/>
      <c r="C5" s="382"/>
      <c r="D5" s="382"/>
      <c r="E5" s="382"/>
      <c r="F5" s="382"/>
      <c r="G5" s="382"/>
      <c r="H5" s="382"/>
    </row>
    <row r="6" spans="1:8" ht="15" customHeight="1">
      <c r="A6" s="385" t="s">
        <v>392</v>
      </c>
      <c r="B6" s="3547"/>
      <c r="C6" s="382"/>
      <c r="D6" s="382"/>
      <c r="E6" s="382"/>
      <c r="F6" s="382"/>
      <c r="G6" s="382"/>
      <c r="H6" s="382"/>
    </row>
    <row r="7" spans="1:8" ht="15" customHeight="1">
      <c r="A7" s="386" t="s">
        <v>390</v>
      </c>
      <c r="B7" s="3545">
        <v>4</v>
      </c>
      <c r="C7" s="382"/>
      <c r="D7" s="382"/>
      <c r="E7" s="382"/>
      <c r="F7" s="382"/>
      <c r="G7" s="382"/>
      <c r="H7" s="382"/>
    </row>
    <row r="8" spans="1:8" ht="15" customHeight="1">
      <c r="A8" s="387" t="s">
        <v>391</v>
      </c>
      <c r="B8" s="3546"/>
      <c r="C8" s="382"/>
      <c r="D8" s="382"/>
      <c r="E8" s="382"/>
      <c r="F8" s="382"/>
      <c r="G8" s="382"/>
      <c r="H8" s="382"/>
    </row>
    <row r="9" spans="1:8" ht="15" customHeight="1">
      <c r="A9" s="388" t="s">
        <v>392</v>
      </c>
      <c r="B9" s="3547"/>
      <c r="C9" s="382"/>
      <c r="D9" s="382"/>
      <c r="E9" s="382"/>
      <c r="F9" s="382"/>
      <c r="G9" s="382"/>
      <c r="H9" s="382"/>
    </row>
    <row r="10" spans="1:8" ht="15" customHeight="1">
      <c r="A10" s="3548" t="s">
        <v>393</v>
      </c>
      <c r="B10" s="3549"/>
      <c r="C10" s="382"/>
      <c r="D10" s="382"/>
      <c r="E10" s="382"/>
      <c r="F10" s="382"/>
      <c r="G10" s="382"/>
      <c r="H10" s="382"/>
    </row>
    <row r="11" spans="1:8" ht="15" customHeight="1">
      <c r="A11" s="3550" t="s">
        <v>1016</v>
      </c>
      <c r="B11" s="3551"/>
      <c r="C11" s="382"/>
      <c r="D11" s="382"/>
      <c r="E11" s="382"/>
      <c r="F11" s="382"/>
      <c r="G11" s="382"/>
      <c r="H11" s="382"/>
    </row>
    <row r="12" spans="1:8" ht="15" customHeight="1">
      <c r="A12" s="3552" t="s">
        <v>394</v>
      </c>
      <c r="B12" s="3552"/>
      <c r="C12" s="389">
        <f>B4</f>
        <v>3</v>
      </c>
      <c r="D12" s="389">
        <f>B4</f>
        <v>3</v>
      </c>
      <c r="E12" s="389">
        <f>B4</f>
        <v>3</v>
      </c>
      <c r="F12" s="390">
        <f>B4</f>
        <v>3</v>
      </c>
      <c r="G12" s="390">
        <f>B4</f>
        <v>3</v>
      </c>
      <c r="H12" s="390">
        <f>B4</f>
        <v>3</v>
      </c>
    </row>
    <row r="13" spans="1:8" ht="15" customHeight="1">
      <c r="A13" s="3552" t="s">
        <v>394</v>
      </c>
      <c r="B13" s="3552"/>
      <c r="C13" s="389">
        <f>B7</f>
        <v>4</v>
      </c>
      <c r="D13" s="389">
        <f>B7</f>
        <v>4</v>
      </c>
      <c r="E13" s="389">
        <f>B7</f>
        <v>4</v>
      </c>
      <c r="F13" s="390">
        <f>B7</f>
        <v>4</v>
      </c>
      <c r="G13" s="390">
        <f>B7</f>
        <v>4</v>
      </c>
      <c r="H13" s="390">
        <f>B7</f>
        <v>4</v>
      </c>
    </row>
    <row r="14" spans="1:8" ht="15" customHeight="1">
      <c r="A14" s="391"/>
      <c r="B14" s="391"/>
      <c r="C14" s="392"/>
      <c r="D14" s="393"/>
      <c r="E14" s="393"/>
      <c r="F14" s="393"/>
      <c r="G14" s="393"/>
      <c r="H14" s="393"/>
    </row>
    <row r="15" spans="1:8" ht="21" customHeight="1">
      <c r="A15" s="1067" t="s">
        <v>1017</v>
      </c>
      <c r="B15" s="1067"/>
      <c r="C15" s="1071" t="s">
        <v>401</v>
      </c>
      <c r="D15" s="1072" t="s">
        <v>1449</v>
      </c>
      <c r="E15" s="1072" t="s">
        <v>1450</v>
      </c>
      <c r="F15" s="1072" t="s">
        <v>1451</v>
      </c>
      <c r="G15" s="1072" t="s">
        <v>1452</v>
      </c>
      <c r="H15" s="1072" t="s">
        <v>1456</v>
      </c>
    </row>
    <row r="16" spans="1:8" ht="15" customHeight="1">
      <c r="A16" s="3543" t="s">
        <v>1018</v>
      </c>
      <c r="B16" s="3544"/>
      <c r="C16" s="3">
        <v>4.0999999999999996</v>
      </c>
      <c r="D16" s="394">
        <v>4</v>
      </c>
      <c r="E16" s="382">
        <v>3.8</v>
      </c>
      <c r="F16" s="382">
        <v>4</v>
      </c>
      <c r="G16" s="382">
        <v>5.4</v>
      </c>
      <c r="H16" s="382">
        <v>3.8</v>
      </c>
    </row>
    <row r="17" spans="1:8" ht="15" customHeight="1">
      <c r="A17" s="3543" t="s">
        <v>1015</v>
      </c>
      <c r="B17" s="3544"/>
      <c r="C17" s="3">
        <v>2.9</v>
      </c>
      <c r="D17" s="3">
        <v>3.1</v>
      </c>
      <c r="E17" s="3">
        <v>2.7</v>
      </c>
      <c r="F17" s="3">
        <v>2.9</v>
      </c>
      <c r="G17" s="3">
        <v>2.6</v>
      </c>
      <c r="H17" s="3">
        <v>2.4</v>
      </c>
    </row>
    <row r="18" spans="1:8" ht="15" customHeight="1">
      <c r="A18" s="3542" t="s">
        <v>395</v>
      </c>
      <c r="B18" s="3542"/>
      <c r="C18" s="395">
        <v>4.25</v>
      </c>
      <c r="D18" s="1052">
        <v>5</v>
      </c>
      <c r="E18" s="382">
        <v>4.3</v>
      </c>
      <c r="F18" s="382">
        <v>4.8</v>
      </c>
      <c r="G18" s="382">
        <v>4.7</v>
      </c>
      <c r="H18" s="382">
        <v>4.4000000000000004</v>
      </c>
    </row>
    <row r="19" spans="1:8" ht="15" customHeight="1">
      <c r="A19" s="3542" t="s">
        <v>396</v>
      </c>
      <c r="B19" s="3542"/>
      <c r="C19" s="395">
        <v>5.7</v>
      </c>
      <c r="D19" s="1052">
        <v>6</v>
      </c>
      <c r="E19" s="382">
        <v>4.8</v>
      </c>
      <c r="F19" s="382">
        <v>4.7</v>
      </c>
      <c r="G19" s="382">
        <v>3.5</v>
      </c>
      <c r="H19" s="382">
        <v>4</v>
      </c>
    </row>
    <row r="20" spans="1:8" ht="15" customHeight="1">
      <c r="A20" s="3550" t="s">
        <v>397</v>
      </c>
      <c r="B20" s="3551"/>
      <c r="C20" s="3">
        <v>0.11</v>
      </c>
      <c r="D20" s="1052">
        <v>0.12</v>
      </c>
      <c r="E20" s="382">
        <v>0.14000000000000001</v>
      </c>
      <c r="F20" s="382">
        <v>0.14000000000000001</v>
      </c>
      <c r="G20" s="382">
        <v>0.2</v>
      </c>
      <c r="H20" s="382">
        <v>0.18</v>
      </c>
    </row>
    <row r="21" spans="1:8" ht="15" customHeight="1">
      <c r="A21" s="3548" t="s">
        <v>393</v>
      </c>
      <c r="B21" s="3549"/>
      <c r="C21" s="3">
        <v>1</v>
      </c>
      <c r="D21" s="395">
        <v>0.9</v>
      </c>
      <c r="E21" s="395">
        <v>0.95</v>
      </c>
      <c r="F21" s="395">
        <v>0.95</v>
      </c>
      <c r="G21" s="395">
        <v>0.95</v>
      </c>
      <c r="H21" s="395">
        <v>0.95</v>
      </c>
    </row>
    <row r="22" spans="1:8" ht="15" customHeight="1">
      <c r="A22" s="3550" t="s">
        <v>1016</v>
      </c>
      <c r="B22" s="3551"/>
      <c r="C22" s="395">
        <v>10</v>
      </c>
      <c r="D22" s="1052">
        <v>10</v>
      </c>
      <c r="E22" s="382">
        <v>9.5</v>
      </c>
      <c r="F22" s="382">
        <v>10</v>
      </c>
      <c r="G22" s="382">
        <v>10</v>
      </c>
      <c r="H22" s="382">
        <v>10</v>
      </c>
    </row>
    <row r="24" spans="1:8" ht="15" customHeight="1">
      <c r="A24" s="1068" t="s">
        <v>1019</v>
      </c>
      <c r="B24" s="1069"/>
      <c r="C24" s="1071" t="s">
        <v>401</v>
      </c>
      <c r="D24" s="1072" t="s">
        <v>1449</v>
      </c>
      <c r="E24" s="1072" t="s">
        <v>1450</v>
      </c>
      <c r="F24" s="1072" t="s">
        <v>1451</v>
      </c>
      <c r="G24" s="1072" t="s">
        <v>1452</v>
      </c>
      <c r="H24" s="1072" t="s">
        <v>1456</v>
      </c>
    </row>
    <row r="25" spans="1:8" ht="15" customHeight="1">
      <c r="A25" s="3543" t="s">
        <v>1018</v>
      </c>
      <c r="B25" s="3544"/>
      <c r="C25" s="394"/>
      <c r="D25" s="394"/>
      <c r="E25" s="394"/>
      <c r="F25" s="394"/>
      <c r="G25" s="394"/>
      <c r="H25" s="394"/>
    </row>
    <row r="26" spans="1:8" ht="16.5" customHeight="1">
      <c r="A26" s="3543" t="s">
        <v>1015</v>
      </c>
      <c r="B26" s="3544"/>
      <c r="C26" s="394"/>
      <c r="D26" s="394"/>
      <c r="E26" s="394"/>
      <c r="F26" s="394"/>
      <c r="G26" s="394"/>
      <c r="H26" s="382"/>
    </row>
    <row r="27" spans="1:8" ht="15" customHeight="1">
      <c r="A27" s="386" t="s">
        <v>390</v>
      </c>
      <c r="B27" s="3545"/>
      <c r="C27" s="394"/>
      <c r="D27" s="3"/>
      <c r="E27" s="3"/>
      <c r="F27" s="382"/>
      <c r="G27" s="3"/>
      <c r="H27" s="382"/>
    </row>
    <row r="28" spans="1:8" ht="15" customHeight="1">
      <c r="A28" s="387" t="s">
        <v>391</v>
      </c>
      <c r="B28" s="3546"/>
      <c r="C28" s="394"/>
      <c r="D28" s="3"/>
      <c r="E28" s="3"/>
      <c r="F28" s="382"/>
      <c r="G28" s="3"/>
      <c r="H28" s="382"/>
    </row>
    <row r="29" spans="1:8" ht="15" customHeight="1">
      <c r="A29" s="388" t="s">
        <v>392</v>
      </c>
      <c r="B29" s="3547"/>
      <c r="C29" s="394"/>
      <c r="D29" s="3"/>
      <c r="E29" s="3"/>
      <c r="F29" s="382"/>
      <c r="G29" s="3"/>
      <c r="H29" s="382"/>
    </row>
    <row r="30" spans="1:8" ht="15" hidden="1" customHeight="1">
      <c r="A30" s="386" t="s">
        <v>390</v>
      </c>
      <c r="B30" s="3545"/>
      <c r="C30" s="394"/>
      <c r="D30" s="1052"/>
      <c r="E30" s="382"/>
      <c r="F30" s="382"/>
      <c r="G30" s="382"/>
      <c r="H30" s="382"/>
    </row>
    <row r="31" spans="1:8" ht="15" hidden="1" customHeight="1">
      <c r="A31" s="387" t="s">
        <v>391</v>
      </c>
      <c r="B31" s="3546"/>
      <c r="C31" s="394"/>
      <c r="D31" s="1052"/>
      <c r="E31" s="382"/>
      <c r="F31" s="382"/>
      <c r="G31" s="382"/>
      <c r="H31" s="382"/>
    </row>
    <row r="32" spans="1:8" ht="15" hidden="1" customHeight="1">
      <c r="A32" s="388" t="s">
        <v>392</v>
      </c>
      <c r="B32" s="3547"/>
      <c r="C32" s="394"/>
      <c r="D32" s="1052"/>
      <c r="E32" s="382"/>
      <c r="F32" s="382"/>
      <c r="G32" s="382"/>
      <c r="H32" s="382"/>
    </row>
    <row r="33" spans="1:8" ht="15.75" customHeight="1">
      <c r="A33" s="3548" t="s">
        <v>393</v>
      </c>
      <c r="B33" s="3549"/>
      <c r="C33" s="394"/>
      <c r="D33" s="395"/>
      <c r="E33" s="395"/>
      <c r="F33" s="395"/>
      <c r="G33" s="395"/>
      <c r="H33" s="395"/>
    </row>
    <row r="34" spans="1:8" ht="15" customHeight="1">
      <c r="A34" s="3550" t="s">
        <v>1016</v>
      </c>
      <c r="B34" s="3551"/>
      <c r="C34" s="394"/>
      <c r="D34" s="1052"/>
      <c r="E34" s="382"/>
      <c r="F34" s="382"/>
      <c r="G34" s="382"/>
      <c r="H34" s="382"/>
    </row>
    <row r="35" spans="1:8" ht="15" customHeight="1">
      <c r="A35" s="3552" t="s">
        <v>394</v>
      </c>
      <c r="B35" s="3552"/>
      <c r="C35" s="389">
        <f>B27</f>
        <v>0</v>
      </c>
      <c r="D35" s="389">
        <f>B27</f>
        <v>0</v>
      </c>
      <c r="E35" s="1781">
        <f>B27</f>
        <v>0</v>
      </c>
      <c r="F35" s="1782">
        <f>B27</f>
        <v>0</v>
      </c>
      <c r="G35" s="1782">
        <f>B27</f>
        <v>0</v>
      </c>
      <c r="H35" s="1782">
        <f>B27</f>
        <v>0</v>
      </c>
    </row>
    <row r="36" spans="1:8" ht="15" customHeight="1">
      <c r="A36" s="3552" t="s">
        <v>394</v>
      </c>
      <c r="B36" s="3552"/>
      <c r="C36" s="389">
        <f>B30</f>
        <v>0</v>
      </c>
      <c r="D36" s="389">
        <f>B30</f>
        <v>0</v>
      </c>
      <c r="E36" s="1781">
        <f>B30</f>
        <v>0</v>
      </c>
      <c r="F36" s="1782">
        <f>B30</f>
        <v>0</v>
      </c>
      <c r="G36" s="1782">
        <f>B30</f>
        <v>0</v>
      </c>
      <c r="H36" s="1782">
        <f>B30</f>
        <v>0</v>
      </c>
    </row>
    <row r="38" spans="1:8" ht="15" customHeight="1">
      <c r="A38" s="1068" t="s">
        <v>400</v>
      </c>
      <c r="B38" s="1069"/>
      <c r="C38" s="1071" t="s">
        <v>401</v>
      </c>
      <c r="D38" s="1072" t="s">
        <v>1451</v>
      </c>
      <c r="E38" s="2727"/>
      <c r="F38" s="2727"/>
      <c r="G38" s="1780"/>
      <c r="H38" s="1780"/>
    </row>
    <row r="39" spans="1:8" ht="15" customHeight="1">
      <c r="A39" s="3543" t="s">
        <v>402</v>
      </c>
      <c r="B39" s="3544"/>
      <c r="C39" s="2398">
        <v>20.3</v>
      </c>
      <c r="D39" s="382"/>
      <c r="E39" s="392"/>
      <c r="F39" s="392"/>
      <c r="G39" s="1780"/>
      <c r="H39" s="393"/>
    </row>
    <row r="40" spans="1:8" ht="15" customHeight="1">
      <c r="A40" s="3543" t="s">
        <v>403</v>
      </c>
      <c r="B40" s="3544"/>
      <c r="C40" s="2398">
        <v>8.6</v>
      </c>
      <c r="D40" s="382"/>
      <c r="E40" s="392"/>
      <c r="F40" s="392"/>
      <c r="G40" s="1780"/>
      <c r="H40" s="393"/>
    </row>
    <row r="41" spans="1:8" ht="15" customHeight="1">
      <c r="A41" s="3543" t="s">
        <v>404</v>
      </c>
      <c r="B41" s="3544"/>
      <c r="C41" s="2398">
        <v>8.6999999999999993</v>
      </c>
      <c r="D41" s="382"/>
      <c r="E41" s="392"/>
      <c r="F41" s="392"/>
      <c r="G41" s="1780"/>
      <c r="H41" s="393"/>
    </row>
    <row r="42" spans="1:8" ht="15" hidden="1" customHeight="1">
      <c r="A42" s="3543" t="s">
        <v>405</v>
      </c>
      <c r="B42" s="3544"/>
      <c r="C42" s="2398"/>
      <c r="D42" s="382"/>
      <c r="E42" s="392"/>
      <c r="F42" s="392"/>
      <c r="G42" s="1780"/>
      <c r="H42" s="393"/>
    </row>
    <row r="43" spans="1:8" ht="15" customHeight="1">
      <c r="A43" s="3543" t="s">
        <v>406</v>
      </c>
      <c r="B43" s="3544"/>
      <c r="C43" s="2398">
        <v>1.2</v>
      </c>
      <c r="D43" s="382"/>
      <c r="E43" s="392"/>
      <c r="F43" s="392"/>
      <c r="G43" s="1780"/>
      <c r="H43" s="393"/>
    </row>
    <row r="44" spans="1:8" ht="15" customHeight="1">
      <c r="A44" s="3543" t="s">
        <v>407</v>
      </c>
      <c r="B44" s="3544"/>
      <c r="C44" s="2398">
        <v>23.5</v>
      </c>
      <c r="D44" s="382"/>
      <c r="E44" s="392"/>
      <c r="F44" s="392"/>
      <c r="G44" s="1780"/>
      <c r="H44" s="393"/>
    </row>
    <row r="45" spans="1:8" ht="15" customHeight="1">
      <c r="A45" s="3543" t="s">
        <v>408</v>
      </c>
      <c r="B45" s="3544"/>
      <c r="C45" s="2398">
        <v>7.5</v>
      </c>
      <c r="D45" s="382"/>
      <c r="E45" s="392"/>
      <c r="F45" s="392"/>
      <c r="G45" s="1780"/>
      <c r="H45" s="393"/>
    </row>
    <row r="46" spans="1:8" ht="15" customHeight="1">
      <c r="A46" s="3543" t="s">
        <v>409</v>
      </c>
      <c r="B46" s="3544"/>
      <c r="C46" s="2398">
        <v>7.3</v>
      </c>
      <c r="D46" s="382"/>
      <c r="E46" s="392"/>
      <c r="F46" s="392"/>
      <c r="G46" s="1780"/>
      <c r="H46" s="393"/>
    </row>
    <row r="47" spans="1:8" ht="15" customHeight="1">
      <c r="A47" s="3543" t="s">
        <v>410</v>
      </c>
      <c r="B47" s="3544"/>
      <c r="C47" s="2398">
        <v>5.4</v>
      </c>
      <c r="D47" s="382"/>
      <c r="E47" s="392"/>
      <c r="F47" s="392"/>
      <c r="G47" s="392"/>
      <c r="H47" s="392"/>
    </row>
    <row r="48" spans="1:8" ht="15" hidden="1" customHeight="1">
      <c r="A48" s="3543" t="s">
        <v>411</v>
      </c>
      <c r="B48" s="3544"/>
      <c r="C48" s="394"/>
      <c r="D48" s="394"/>
      <c r="E48" s="2398"/>
      <c r="F48" s="2398"/>
      <c r="G48" s="2726"/>
      <c r="H48" s="2726"/>
    </row>
    <row r="50" spans="1:8" ht="15" customHeight="1">
      <c r="A50" s="1068" t="s">
        <v>1020</v>
      </c>
      <c r="B50" s="1069"/>
      <c r="C50" s="1070">
        <v>0.375</v>
      </c>
      <c r="D50" s="1070">
        <v>0.875</v>
      </c>
      <c r="E50" s="1067"/>
      <c r="F50" s="1067"/>
      <c r="G50" s="1067"/>
      <c r="H50" s="1067"/>
    </row>
    <row r="51" spans="1:8" ht="15" customHeight="1">
      <c r="A51" s="3543" t="s">
        <v>1021</v>
      </c>
      <c r="B51" s="3544"/>
      <c r="C51" s="2137">
        <v>1.64</v>
      </c>
      <c r="D51" s="1326">
        <v>1.86</v>
      </c>
      <c r="E51" s="395"/>
      <c r="F51" s="395"/>
      <c r="G51" s="395"/>
      <c r="H51" s="395"/>
    </row>
    <row r="52" spans="1:8" ht="15" customHeight="1">
      <c r="A52" s="3543" t="s">
        <v>412</v>
      </c>
      <c r="B52" s="3544"/>
      <c r="C52" s="2137">
        <v>1.44</v>
      </c>
      <c r="D52" s="1326">
        <v>1.56</v>
      </c>
      <c r="E52" s="395"/>
      <c r="F52" s="395"/>
      <c r="G52" s="395"/>
      <c r="H52" s="395"/>
    </row>
    <row r="53" spans="1:8" ht="15" customHeight="1">
      <c r="A53" s="3543" t="s">
        <v>1022</v>
      </c>
      <c r="B53" s="3544"/>
      <c r="C53" s="2137">
        <v>3.7</v>
      </c>
      <c r="D53" s="1326">
        <v>3.65</v>
      </c>
      <c r="E53" s="395"/>
      <c r="F53" s="395"/>
      <c r="G53" s="395"/>
      <c r="H53" s="395"/>
    </row>
    <row r="54" spans="1:8" ht="15" customHeight="1">
      <c r="A54" s="3543" t="s">
        <v>413</v>
      </c>
      <c r="B54" s="3544"/>
      <c r="C54" s="2137">
        <v>9.9</v>
      </c>
      <c r="D54" s="1326">
        <v>9.8000000000000007</v>
      </c>
      <c r="E54" s="395"/>
      <c r="F54" s="395"/>
      <c r="G54" s="395"/>
      <c r="H54" s="395"/>
    </row>
    <row r="55" spans="1:8" ht="15.75" customHeight="1">
      <c r="A55" s="3543" t="s">
        <v>414</v>
      </c>
      <c r="B55" s="3544"/>
      <c r="C55" s="2137">
        <v>8.1999999999999993</v>
      </c>
      <c r="D55" s="1326">
        <v>8</v>
      </c>
      <c r="E55" s="395"/>
      <c r="F55" s="395"/>
      <c r="G55" s="395"/>
      <c r="H55" s="395"/>
    </row>
    <row r="56" spans="1:8" ht="15.75" customHeight="1">
      <c r="A56" s="3543" t="s">
        <v>415</v>
      </c>
      <c r="B56" s="3544"/>
      <c r="C56" s="2137">
        <v>9.8000000000000007</v>
      </c>
      <c r="D56" s="1326">
        <v>9.9</v>
      </c>
      <c r="E56" s="395"/>
      <c r="F56" s="395"/>
      <c r="G56" s="395"/>
      <c r="H56" s="395"/>
    </row>
    <row r="57" spans="1:8" ht="15.75" customHeight="1">
      <c r="A57" s="3543" t="s">
        <v>416</v>
      </c>
      <c r="B57" s="3544"/>
      <c r="C57" s="2137">
        <v>8.1</v>
      </c>
      <c r="D57" s="1326">
        <v>7.8</v>
      </c>
      <c r="E57" s="395"/>
      <c r="F57" s="395"/>
      <c r="G57" s="395"/>
      <c r="H57" s="395"/>
    </row>
    <row r="58" spans="1:8" ht="15.75" customHeight="1">
      <c r="A58" s="3543" t="s">
        <v>417</v>
      </c>
      <c r="B58" s="3544"/>
      <c r="C58" s="2137">
        <v>9.8000000000000007</v>
      </c>
      <c r="D58" s="1326">
        <v>9.6999999999999993</v>
      </c>
      <c r="E58" s="395"/>
      <c r="F58" s="395"/>
      <c r="G58" s="395"/>
      <c r="H58" s="395"/>
    </row>
    <row r="59" spans="1:8" ht="15.75" customHeight="1">
      <c r="A59" s="3543" t="s">
        <v>418</v>
      </c>
      <c r="B59" s="3544"/>
      <c r="C59" s="2137">
        <v>8.1</v>
      </c>
      <c r="D59" s="1326">
        <v>8</v>
      </c>
      <c r="E59" s="395"/>
      <c r="F59" s="395"/>
      <c r="G59" s="395"/>
      <c r="H59" s="395"/>
    </row>
    <row r="60" spans="1:8" ht="15" customHeight="1">
      <c r="A60" s="3543" t="s">
        <v>1023</v>
      </c>
      <c r="B60" s="3544"/>
      <c r="C60" s="2137">
        <v>3.95</v>
      </c>
      <c r="D60" s="1326">
        <v>3.95</v>
      </c>
      <c r="E60" s="395"/>
      <c r="F60" s="395"/>
      <c r="G60" s="395"/>
      <c r="H60" s="395"/>
    </row>
    <row r="61" spans="1:8" ht="15" hidden="1" customHeight="1">
      <c r="A61" s="2" t="s">
        <v>1024</v>
      </c>
      <c r="B61" s="2"/>
      <c r="C61" s="1074"/>
      <c r="D61" s="1074"/>
      <c r="E61" s="395"/>
      <c r="F61" s="395"/>
      <c r="G61" s="395"/>
      <c r="H61" s="395"/>
    </row>
    <row r="62" spans="1:8" ht="15" customHeight="1">
      <c r="A62" s="749"/>
      <c r="B62" s="749"/>
      <c r="C62" s="1075"/>
      <c r="D62" s="1075"/>
      <c r="E62" s="51"/>
      <c r="F62" s="51"/>
      <c r="G62" s="51"/>
      <c r="H62" s="51"/>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7" type="noConversion"/>
  <pageMargins left="0.46" right="0.16" top="0.98" bottom="1" header="0.41" footer="0.5"/>
  <pageSetup paperSize="9" scale="88"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sheetPr codeName="Sheet20">
    <tabColor rgb="FFFFFF00"/>
  </sheetPr>
  <dimension ref="A1:BC119"/>
  <sheetViews>
    <sheetView showGridLines="0" zoomScale="55" zoomScaleNormal="55" workbookViewId="0">
      <pane xSplit="7" ySplit="2" topLeftCell="H21" activePane="bottomRight" state="frozen"/>
      <selection pane="topRight" activeCell="H1" sqref="H1"/>
      <selection pane="bottomLeft" activeCell="A3" sqref="A3"/>
      <selection pane="bottomRight" activeCell="AO37" sqref="AO37"/>
    </sheetView>
  </sheetViews>
  <sheetFormatPr defaultRowHeight="15.75"/>
  <cols>
    <col min="1" max="1" width="20" style="264" customWidth="1"/>
    <col min="2" max="2" width="28.5" style="264" customWidth="1"/>
    <col min="3" max="3" width="7.625" style="264" customWidth="1"/>
    <col min="4" max="4" width="8.625" style="40" customWidth="1"/>
    <col min="5" max="5" width="20" style="264" customWidth="1"/>
    <col min="6" max="6" width="12" style="264" hidden="1" customWidth="1"/>
    <col min="7" max="7" width="8" style="264" hidden="1" customWidth="1"/>
    <col min="8" max="8" width="10" style="264" customWidth="1"/>
    <col min="9" max="9" width="6.375" style="264" hidden="1" customWidth="1"/>
    <col min="10" max="10" width="2.5" style="264" customWidth="1"/>
    <col min="11" max="11" width="7.875" style="264" customWidth="1"/>
    <col min="12" max="12" width="4.75" style="264" customWidth="1"/>
    <col min="13" max="13" width="6.25" style="264" hidden="1" customWidth="1"/>
    <col min="14" max="14" width="10.625" style="264" customWidth="1"/>
    <col min="15" max="15" width="11.25" style="264" hidden="1" customWidth="1"/>
    <col min="16" max="16" width="3" style="264" customWidth="1"/>
    <col min="17" max="17" width="8.75" style="264" customWidth="1"/>
    <col min="18" max="18" width="6.5" style="264" customWidth="1"/>
    <col min="19" max="19" width="9" style="264" hidden="1" customWidth="1"/>
    <col min="20" max="20" width="8.375" style="264" customWidth="1"/>
    <col min="21" max="21" width="9" style="264" hidden="1" customWidth="1"/>
    <col min="22" max="22" width="3.75" style="264" customWidth="1"/>
    <col min="23" max="23" width="8.125" style="264" customWidth="1"/>
    <col min="24" max="24" width="4" style="264" customWidth="1"/>
    <col min="25" max="25" width="9" style="264" hidden="1" customWidth="1"/>
    <col min="26" max="26" width="7.75" style="264" customWidth="1"/>
    <col min="27" max="27" width="9" style="264" hidden="1" customWidth="1"/>
    <col min="28" max="28" width="4" style="264" customWidth="1"/>
    <col min="29" max="29" width="7.875" style="264" customWidth="1"/>
    <col min="30" max="30" width="4.875" style="40" customWidth="1"/>
    <col min="31" max="31" width="9" style="264" hidden="1" customWidth="1"/>
    <col min="32" max="32" width="8.375" style="264" customWidth="1"/>
    <col min="33" max="33" width="9" style="264" customWidth="1"/>
    <col min="34" max="34" width="3.75" style="264" customWidth="1"/>
    <col min="35" max="35" width="8.125" style="264" customWidth="1"/>
    <col min="36" max="36" width="4" style="264" customWidth="1"/>
    <col min="37" max="37" width="9" style="264" hidden="1" customWidth="1"/>
    <col min="38" max="38" width="7.75" style="264" customWidth="1"/>
    <col min="39" max="39" width="9" style="264" hidden="1" customWidth="1"/>
    <col min="40" max="40" width="4" style="264" customWidth="1"/>
    <col min="41" max="41" width="7.875" style="264" customWidth="1"/>
    <col min="42" max="42" width="4.875" style="40" customWidth="1"/>
    <col min="43" max="43" width="15" style="264" hidden="1" customWidth="1"/>
    <col min="44" max="44" width="12.5" style="264" customWidth="1"/>
    <col min="45" max="45" width="17" style="264" customWidth="1"/>
    <col min="46" max="16384" width="9" style="264"/>
  </cols>
  <sheetData>
    <row r="1" spans="1:45" ht="48.75" customHeight="1">
      <c r="A1" s="396" t="s">
        <v>1500</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1218"/>
      <c r="AB1" s="1218"/>
      <c r="AC1" s="1218"/>
      <c r="AD1" s="1218"/>
      <c r="AF1" s="203"/>
      <c r="AH1" s="204" t="s">
        <v>172</v>
      </c>
      <c r="AI1" s="1219"/>
      <c r="AJ1" s="1219"/>
      <c r="AK1" s="1219"/>
      <c r="AL1" s="1219"/>
      <c r="AM1" s="1219"/>
      <c r="AN1" s="1219"/>
      <c r="AO1" s="1219"/>
      <c r="AP1" s="1219"/>
      <c r="AQ1" s="1219"/>
      <c r="AR1" s="1219"/>
    </row>
    <row r="2" spans="1:45" ht="35.25" customHeight="1">
      <c r="A2" s="1951" t="str">
        <f>MENU!$AC$9</f>
        <v>Thứ 5,</v>
      </c>
      <c r="B2" s="1986" t="str">
        <f>MENU!$AD$9</f>
        <v>2024/08/01</v>
      </c>
      <c r="C2" s="1218"/>
      <c r="D2" s="1218"/>
      <c r="E2" s="1218"/>
      <c r="F2" s="1218"/>
      <c r="G2" s="1218"/>
      <c r="H2" s="1218"/>
      <c r="I2" s="1218"/>
      <c r="J2" s="1218"/>
      <c r="K2" s="1218"/>
      <c r="L2" s="1218"/>
      <c r="M2" s="1218"/>
      <c r="N2" s="1218"/>
      <c r="O2" s="1218"/>
      <c r="P2" s="1218"/>
      <c r="Q2" s="1218"/>
      <c r="R2" s="1218"/>
      <c r="S2" s="1218"/>
      <c r="T2" s="1218"/>
      <c r="U2" s="1218"/>
      <c r="V2" s="1218"/>
      <c r="W2" s="1218"/>
      <c r="X2" s="1218"/>
      <c r="Y2" s="1218"/>
      <c r="Z2" s="1218"/>
      <c r="AA2" s="1218"/>
      <c r="AB2" s="1218"/>
      <c r="AC2" s="1218"/>
      <c r="AD2" s="1218"/>
      <c r="AF2" s="1220"/>
      <c r="AH2" s="204" t="s">
        <v>173</v>
      </c>
      <c r="AI2" s="1219"/>
      <c r="AJ2" s="1219"/>
      <c r="AK2" s="1219"/>
      <c r="AL2" s="1219"/>
      <c r="AM2" s="1219"/>
      <c r="AN2" s="1219"/>
      <c r="AO2" s="1219"/>
      <c r="AP2" s="1219"/>
      <c r="AQ2" s="1219"/>
      <c r="AR2" s="1219"/>
    </row>
    <row r="3" spans="1:45" ht="41.25" customHeight="1">
      <c r="A3" s="1954" t="s">
        <v>419</v>
      </c>
      <c r="B3" s="1955"/>
      <c r="C3" s="1956"/>
      <c r="D3" s="1956"/>
      <c r="E3" s="1957"/>
      <c r="F3" s="1958" t="s">
        <v>71</v>
      </c>
      <c r="G3" s="1902"/>
      <c r="H3" s="1959" t="s">
        <v>71</v>
      </c>
      <c r="I3" s="1959"/>
      <c r="J3" s="1959"/>
      <c r="K3" s="1959"/>
      <c r="L3" s="1959"/>
      <c r="M3" s="1959"/>
      <c r="N3" s="1959"/>
      <c r="O3" s="1959"/>
      <c r="P3" s="1959"/>
      <c r="Q3" s="1959"/>
      <c r="R3" s="1959"/>
      <c r="S3" s="1959"/>
      <c r="T3" s="1959"/>
      <c r="U3" s="1959"/>
      <c r="V3" s="1959"/>
      <c r="W3" s="1959"/>
      <c r="X3" s="1959"/>
      <c r="Y3" s="1959"/>
      <c r="Z3" s="1959"/>
      <c r="AA3" s="1959"/>
      <c r="AB3" s="1959"/>
      <c r="AC3" s="1959"/>
      <c r="AD3" s="1959"/>
      <c r="AE3" s="1959"/>
      <c r="AF3" s="1959"/>
      <c r="AG3" s="1959"/>
      <c r="AH3" s="1959"/>
      <c r="AI3" s="1959"/>
      <c r="AJ3" s="1959"/>
      <c r="AK3" s="1959"/>
      <c r="AL3" s="1959"/>
      <c r="AM3" s="1959"/>
      <c r="AN3" s="1959"/>
      <c r="AO3" s="1959"/>
      <c r="AP3" s="1959"/>
      <c r="AS3" s="1816"/>
    </row>
    <row r="4" spans="1:45" s="40" customFormat="1" ht="33" customHeight="1">
      <c r="A4" s="417"/>
      <c r="B4" s="3568" t="s">
        <v>75</v>
      </c>
      <c r="C4" s="3569"/>
      <c r="D4" s="3572" t="s">
        <v>123</v>
      </c>
      <c r="E4" s="3574" t="s">
        <v>63</v>
      </c>
      <c r="F4" s="1221"/>
      <c r="G4" s="82"/>
      <c r="H4" s="3567" t="s">
        <v>469</v>
      </c>
      <c r="I4" s="3567"/>
      <c r="J4" s="3567"/>
      <c r="K4" s="3567"/>
      <c r="L4" s="3567"/>
      <c r="M4" s="1222"/>
      <c r="N4" s="3560" t="s">
        <v>1449</v>
      </c>
      <c r="O4" s="3560"/>
      <c r="P4" s="3560"/>
      <c r="Q4" s="3560"/>
      <c r="R4" s="3560"/>
      <c r="S4" s="1222"/>
      <c r="T4" s="3567" t="s">
        <v>1450</v>
      </c>
      <c r="U4" s="3567"/>
      <c r="V4" s="3567"/>
      <c r="W4" s="3567"/>
      <c r="X4" s="3567"/>
      <c r="Y4" s="1222"/>
      <c r="Z4" s="3567" t="s">
        <v>1451</v>
      </c>
      <c r="AA4" s="3567"/>
      <c r="AB4" s="3567"/>
      <c r="AC4" s="3567"/>
      <c r="AD4" s="3567"/>
      <c r="AE4" s="1222"/>
      <c r="AF4" s="3567" t="s">
        <v>1452</v>
      </c>
      <c r="AG4" s="3567"/>
      <c r="AH4" s="3567"/>
      <c r="AI4" s="3567"/>
      <c r="AJ4" s="3567"/>
      <c r="AK4" s="1222"/>
      <c r="AL4" s="3567" t="s">
        <v>1453</v>
      </c>
      <c r="AM4" s="3567"/>
      <c r="AN4" s="3567"/>
      <c r="AO4" s="3567"/>
      <c r="AP4" s="3567"/>
      <c r="AQ4" s="417"/>
      <c r="AR4" s="403"/>
    </row>
    <row r="5" spans="1:45" s="40" customFormat="1" ht="33" customHeight="1">
      <c r="A5" s="403" t="s">
        <v>236</v>
      </c>
      <c r="B5" s="3570"/>
      <c r="C5" s="3571"/>
      <c r="D5" s="3573"/>
      <c r="E5" s="3575"/>
      <c r="F5" s="1223" t="s">
        <v>420</v>
      </c>
      <c r="G5" s="20"/>
      <c r="H5" s="1199" t="s">
        <v>128</v>
      </c>
      <c r="I5" s="33" t="s">
        <v>1</v>
      </c>
      <c r="J5" s="282" t="s">
        <v>1</v>
      </c>
      <c r="K5" s="282"/>
      <c r="L5" s="283"/>
      <c r="M5" s="84"/>
      <c r="N5" s="1199" t="s">
        <v>128</v>
      </c>
      <c r="O5" s="33" t="s">
        <v>1</v>
      </c>
      <c r="P5" s="282" t="s">
        <v>1</v>
      </c>
      <c r="Q5" s="282"/>
      <c r="R5" s="283"/>
      <c r="S5" s="20"/>
      <c r="T5" s="1199" t="s">
        <v>128</v>
      </c>
      <c r="U5" s="33" t="s">
        <v>1</v>
      </c>
      <c r="V5" s="282" t="s">
        <v>1</v>
      </c>
      <c r="W5" s="282"/>
      <c r="X5" s="283"/>
      <c r="Y5" s="84"/>
      <c r="Z5" s="1199" t="s">
        <v>128</v>
      </c>
      <c r="AA5" s="33" t="s">
        <v>1</v>
      </c>
      <c r="AB5" s="282" t="s">
        <v>1</v>
      </c>
      <c r="AC5" s="282"/>
      <c r="AD5" s="283"/>
      <c r="AE5" s="84"/>
      <c r="AF5" s="1199" t="s">
        <v>128</v>
      </c>
      <c r="AG5" s="33" t="s">
        <v>1</v>
      </c>
      <c r="AH5" s="282" t="s">
        <v>1</v>
      </c>
      <c r="AI5" s="282"/>
      <c r="AJ5" s="283"/>
      <c r="AK5" s="84"/>
      <c r="AL5" s="1199" t="s">
        <v>128</v>
      </c>
      <c r="AM5" s="33" t="s">
        <v>1</v>
      </c>
      <c r="AN5" s="282" t="s">
        <v>1</v>
      </c>
      <c r="AO5" s="282"/>
      <c r="AP5" s="283"/>
      <c r="AQ5" s="403" t="s">
        <v>421</v>
      </c>
      <c r="AR5" s="403"/>
    </row>
    <row r="6" spans="1:45" ht="33.75" customHeight="1">
      <c r="A6" s="1201" t="s">
        <v>422</v>
      </c>
      <c r="B6" s="3410" t="s">
        <v>832</v>
      </c>
      <c r="C6" s="3412"/>
      <c r="D6" s="1036" t="s">
        <v>3</v>
      </c>
      <c r="E6" s="101" t="s">
        <v>424</v>
      </c>
      <c r="F6" s="1224">
        <v>12.5</v>
      </c>
      <c r="G6" s="1225">
        <f>R.HN!C2</f>
        <v>0</v>
      </c>
      <c r="H6" s="34">
        <f>(1*G6*36.5)/(1*10)</f>
        <v>0</v>
      </c>
      <c r="I6" s="34">
        <f>($F$6-H6)*748/32</f>
        <v>292.1875</v>
      </c>
      <c r="J6" s="36" t="s">
        <v>8</v>
      </c>
      <c r="K6" s="37">
        <f>IF(I6&lt;0,0,I6)</f>
        <v>292.1875</v>
      </c>
      <c r="L6" s="211" t="s">
        <v>10</v>
      </c>
      <c r="M6" s="243">
        <f>R.HN!D2</f>
        <v>0</v>
      </c>
      <c r="N6" s="34">
        <f>(1*M6*36.5)/(1*10)</f>
        <v>0</v>
      </c>
      <c r="O6" s="34">
        <f>($F$6-N6)*748/32</f>
        <v>292.1875</v>
      </c>
      <c r="P6" s="36" t="s">
        <v>8</v>
      </c>
      <c r="Q6" s="37">
        <f>IF(O6&lt;0,0,O6)</f>
        <v>292.1875</v>
      </c>
      <c r="R6" s="38" t="s">
        <v>10</v>
      </c>
      <c r="S6" s="87">
        <f>R.HN!E2</f>
        <v>0</v>
      </c>
      <c r="T6" s="34">
        <f>(1*S6*36.5)/(1*10)</f>
        <v>0</v>
      </c>
      <c r="U6" s="34">
        <f>($F$6-T6)*748/32</f>
        <v>292.1875</v>
      </c>
      <c r="V6" s="36" t="s">
        <v>8</v>
      </c>
      <c r="W6" s="37">
        <f>IF(U6&lt;0,0,U6)</f>
        <v>292.1875</v>
      </c>
      <c r="X6" s="38" t="s">
        <v>10</v>
      </c>
      <c r="Y6" s="87">
        <f>R.HN!F2</f>
        <v>0</v>
      </c>
      <c r="Z6" s="34">
        <f>(1*Y6*36.5)/(1*10)</f>
        <v>0</v>
      </c>
      <c r="AA6" s="34">
        <f>($F$6-Z6)*748/32</f>
        <v>292.1875</v>
      </c>
      <c r="AB6" s="36" t="s">
        <v>8</v>
      </c>
      <c r="AC6" s="37">
        <f>IF(AA6&lt;0,0,AA6)</f>
        <v>292.1875</v>
      </c>
      <c r="AD6" s="38" t="s">
        <v>10</v>
      </c>
      <c r="AE6" s="87">
        <f>R.HN!G2</f>
        <v>0</v>
      </c>
      <c r="AF6" s="34">
        <f>(1*AE6*36.5)/(1*10)</f>
        <v>0</v>
      </c>
      <c r="AG6" s="34">
        <f>($F$6-AF6)*748/32</f>
        <v>292.1875</v>
      </c>
      <c r="AH6" s="36" t="s">
        <v>8</v>
      </c>
      <c r="AI6" s="37">
        <f>IF(AG6&lt;0,0,AG6)</f>
        <v>292.1875</v>
      </c>
      <c r="AJ6" s="38" t="s">
        <v>10</v>
      </c>
      <c r="AK6" s="87">
        <f>R.HN!H2</f>
        <v>0</v>
      </c>
      <c r="AL6" s="34">
        <f>(1*AK6*36.5)/(1*10)</f>
        <v>0</v>
      </c>
      <c r="AM6" s="34">
        <f>($F$6-AL6)*748/32</f>
        <v>292.1875</v>
      </c>
      <c r="AN6" s="36" t="s">
        <v>8</v>
      </c>
      <c r="AO6" s="37">
        <f>IF(AM6&lt;0,0,AM6)</f>
        <v>292.1875</v>
      </c>
      <c r="AP6" s="38" t="s">
        <v>10</v>
      </c>
      <c r="AQ6" s="264" t="s">
        <v>425</v>
      </c>
    </row>
    <row r="7" spans="1:45" ht="33.75" customHeight="1">
      <c r="A7" s="1201" t="s">
        <v>426</v>
      </c>
      <c r="B7" s="3410" t="s">
        <v>833</v>
      </c>
      <c r="C7" s="3412"/>
      <c r="D7" s="1036" t="s">
        <v>3</v>
      </c>
      <c r="E7" s="101" t="s">
        <v>424</v>
      </c>
      <c r="F7" s="1224">
        <v>12.5</v>
      </c>
      <c r="G7" s="1225">
        <f>R.HN!C3</f>
        <v>0</v>
      </c>
      <c r="H7" s="34">
        <f>(1*G7*36.5)/(1*10)</f>
        <v>0</v>
      </c>
      <c r="I7" s="34">
        <f>($F$6-H7)*748/32</f>
        <v>292.1875</v>
      </c>
      <c r="J7" s="36" t="s">
        <v>8</v>
      </c>
      <c r="K7" s="37">
        <f>IF(I7&lt;0,0,I7)</f>
        <v>292.1875</v>
      </c>
      <c r="L7" s="211" t="s">
        <v>10</v>
      </c>
      <c r="M7" s="243">
        <f>R.HN!D3</f>
        <v>0</v>
      </c>
      <c r="N7" s="34">
        <f>(1*M7*36.5)/(1*10)</f>
        <v>0</v>
      </c>
      <c r="O7" s="34">
        <f>($F$6-N7)*748/32</f>
        <v>292.1875</v>
      </c>
      <c r="P7" s="36" t="s">
        <v>8</v>
      </c>
      <c r="Q7" s="37">
        <f>IF(O7&lt;0,0,O7)</f>
        <v>292.1875</v>
      </c>
      <c r="R7" s="38" t="s">
        <v>10</v>
      </c>
      <c r="S7" s="87">
        <f>R.HN!E3</f>
        <v>0</v>
      </c>
      <c r="T7" s="34">
        <f>(1*S7*36.5)/(1*10)</f>
        <v>0</v>
      </c>
      <c r="U7" s="34">
        <f>($F$6-T7)*748/32</f>
        <v>292.1875</v>
      </c>
      <c r="V7" s="36" t="s">
        <v>8</v>
      </c>
      <c r="W7" s="37">
        <f>IF(U7&lt;0,0,U7)</f>
        <v>292.1875</v>
      </c>
      <c r="X7" s="38" t="s">
        <v>10</v>
      </c>
      <c r="Y7" s="87">
        <f>R.HN!F3</f>
        <v>0</v>
      </c>
      <c r="Z7" s="34">
        <f>(1*Y7*36.5)/(1*10)</f>
        <v>0</v>
      </c>
      <c r="AA7" s="34">
        <f>($F$6-Z7)*748/32</f>
        <v>292.1875</v>
      </c>
      <c r="AB7" s="36" t="s">
        <v>8</v>
      </c>
      <c r="AC7" s="37">
        <f>IF(AA7&lt;0,0,AA7)</f>
        <v>292.1875</v>
      </c>
      <c r="AD7" s="38" t="s">
        <v>10</v>
      </c>
      <c r="AE7" s="87">
        <f>R.HN!G3</f>
        <v>0</v>
      </c>
      <c r="AF7" s="34">
        <f>(1*AE7*36.5)/(1*10)</f>
        <v>0</v>
      </c>
      <c r="AG7" s="34">
        <f>($F$6-AF7)*748/32</f>
        <v>292.1875</v>
      </c>
      <c r="AH7" s="36" t="s">
        <v>8</v>
      </c>
      <c r="AI7" s="37">
        <f>IF(AG7&lt;0,0,AG7)</f>
        <v>292.1875</v>
      </c>
      <c r="AJ7" s="38" t="s">
        <v>10</v>
      </c>
      <c r="AK7" s="87">
        <f>R.HN!H3</f>
        <v>0</v>
      </c>
      <c r="AL7" s="34">
        <f>(1*AK7*36.5)/(1*10)</f>
        <v>0</v>
      </c>
      <c r="AM7" s="34">
        <f>($F$6-AL7)*748/32</f>
        <v>292.1875</v>
      </c>
      <c r="AN7" s="36" t="s">
        <v>8</v>
      </c>
      <c r="AO7" s="37">
        <f>IF(AM7&lt;0,0,AM7)</f>
        <v>292.1875</v>
      </c>
      <c r="AP7" s="38" t="s">
        <v>10</v>
      </c>
      <c r="AQ7" s="264" t="s">
        <v>425</v>
      </c>
    </row>
    <row r="8" spans="1:45" ht="33.75" customHeight="1">
      <c r="A8" s="1201" t="s">
        <v>427</v>
      </c>
      <c r="B8" s="3354" t="s">
        <v>428</v>
      </c>
      <c r="C8" s="3562">
        <f>R.HN!B4</f>
        <v>3</v>
      </c>
      <c r="D8" s="3559" t="s">
        <v>429</v>
      </c>
      <c r="E8" s="101" t="s">
        <v>1051</v>
      </c>
      <c r="F8" s="1226">
        <v>50</v>
      </c>
      <c r="G8" s="1225">
        <f>R.HN!C4</f>
        <v>0</v>
      </c>
      <c r="H8" s="34">
        <f>G8*10</f>
        <v>0</v>
      </c>
      <c r="I8" s="34">
        <f>($F$8-H8)*2*694/1000</f>
        <v>69.400000000000006</v>
      </c>
      <c r="J8" s="36" t="s">
        <v>8</v>
      </c>
      <c r="K8" s="37">
        <f>IF(I8&lt;0,0,I8)</f>
        <v>69.400000000000006</v>
      </c>
      <c r="L8" s="211" t="s">
        <v>9</v>
      </c>
      <c r="M8" s="243">
        <f>R.HN!D4</f>
        <v>0</v>
      </c>
      <c r="N8" s="34">
        <f>M8*10</f>
        <v>0</v>
      </c>
      <c r="O8" s="34">
        <f>($F$8-N8)*2*694/1000</f>
        <v>69.400000000000006</v>
      </c>
      <c r="P8" s="36" t="s">
        <v>8</v>
      </c>
      <c r="Q8" s="37">
        <f>IF(O8&lt;0,0,O8)</f>
        <v>69.400000000000006</v>
      </c>
      <c r="R8" s="38" t="s">
        <v>9</v>
      </c>
      <c r="S8" s="87">
        <f>R.HN!E4</f>
        <v>0</v>
      </c>
      <c r="T8" s="34">
        <f>S8*10</f>
        <v>0</v>
      </c>
      <c r="U8" s="34">
        <f>($F$8-T8)*2*694/1000</f>
        <v>69.400000000000006</v>
      </c>
      <c r="V8" s="36" t="s">
        <v>8</v>
      </c>
      <c r="W8" s="37">
        <f>IF(U8&lt;0,0,U8)</f>
        <v>69.400000000000006</v>
      </c>
      <c r="X8" s="38" t="s">
        <v>9</v>
      </c>
      <c r="Y8" s="87">
        <f>R.HN!F4</f>
        <v>0</v>
      </c>
      <c r="Z8" s="34">
        <f>Y8*10</f>
        <v>0</v>
      </c>
      <c r="AA8" s="34">
        <f>($F$8-Z8)*2*694/1000</f>
        <v>69.400000000000006</v>
      </c>
      <c r="AB8" s="36" t="s">
        <v>8</v>
      </c>
      <c r="AC8" s="37">
        <f>IF(AA8&lt;0,0,AA8)</f>
        <v>69.400000000000006</v>
      </c>
      <c r="AD8" s="38" t="s">
        <v>9</v>
      </c>
      <c r="AE8" s="87">
        <f>R.HN!G4</f>
        <v>0</v>
      </c>
      <c r="AF8" s="34">
        <f>AE8*10</f>
        <v>0</v>
      </c>
      <c r="AG8" s="34">
        <f>($F$8-AF8)*2*694/1000</f>
        <v>69.400000000000006</v>
      </c>
      <c r="AH8" s="36" t="s">
        <v>8</v>
      </c>
      <c r="AI8" s="37">
        <f>IF(AG8&lt;0,0,AG8)</f>
        <v>69.400000000000006</v>
      </c>
      <c r="AJ8" s="38" t="s">
        <v>9</v>
      </c>
      <c r="AK8" s="87">
        <f>R.HN!H4</f>
        <v>0</v>
      </c>
      <c r="AL8" s="34">
        <f>AK8*10</f>
        <v>0</v>
      </c>
      <c r="AM8" s="34">
        <f>($F$8-AL8)*2*694/1000</f>
        <v>69.400000000000006</v>
      </c>
      <c r="AN8" s="36" t="s">
        <v>8</v>
      </c>
      <c r="AO8" s="37">
        <f>IF(AM8&lt;0,0,AM8)</f>
        <v>69.400000000000006</v>
      </c>
      <c r="AP8" s="38" t="s">
        <v>9</v>
      </c>
      <c r="AQ8" s="264" t="s">
        <v>425</v>
      </c>
    </row>
    <row r="9" spans="1:45" ht="33.75" customHeight="1">
      <c r="A9" s="1201" t="s">
        <v>430</v>
      </c>
      <c r="B9" s="3355"/>
      <c r="C9" s="3563"/>
      <c r="D9" s="3559"/>
      <c r="E9" s="101" t="s">
        <v>1052</v>
      </c>
      <c r="F9" s="1227">
        <v>6.5</v>
      </c>
      <c r="G9" s="1225">
        <f>R.HN!C5</f>
        <v>0</v>
      </c>
      <c r="H9" s="34">
        <f>IFERROR(H8/G9,0)</f>
        <v>0</v>
      </c>
      <c r="I9" s="34">
        <f>($F$9-H9)*694/1000</f>
        <v>4.5110000000000001</v>
      </c>
      <c r="J9" s="36"/>
      <c r="K9" s="37">
        <f>IF(I9&lt;0,0,I9)</f>
        <v>4.5110000000000001</v>
      </c>
      <c r="L9" s="211" t="s">
        <v>9</v>
      </c>
      <c r="M9" s="243">
        <f>R.HN!D5</f>
        <v>0</v>
      </c>
      <c r="N9" s="34">
        <f>IFERROR(N8/M9,0)</f>
        <v>0</v>
      </c>
      <c r="O9" s="34">
        <f>($F$9-N9)*694/1000</f>
        <v>4.5110000000000001</v>
      </c>
      <c r="P9" s="36"/>
      <c r="Q9" s="37">
        <f>IF(O9&lt;0,0,O9)</f>
        <v>4.5110000000000001</v>
      </c>
      <c r="R9" s="38" t="s">
        <v>9</v>
      </c>
      <c r="S9" s="87">
        <f>R.HN!E5</f>
        <v>0</v>
      </c>
      <c r="T9" s="34">
        <f>IFERROR(T8/S9,0)</f>
        <v>0</v>
      </c>
      <c r="U9" s="34">
        <f>($F$9-T9)*694/1000</f>
        <v>4.5110000000000001</v>
      </c>
      <c r="V9" s="36"/>
      <c r="W9" s="37">
        <f>IF(U9&lt;0,0,U9)</f>
        <v>4.5110000000000001</v>
      </c>
      <c r="X9" s="38" t="s">
        <v>9</v>
      </c>
      <c r="Y9" s="87">
        <f>R.HN!F5</f>
        <v>0</v>
      </c>
      <c r="Z9" s="34">
        <f>IFERROR(Z8/Y9,0)</f>
        <v>0</v>
      </c>
      <c r="AA9" s="34">
        <f>($F$9-Z9)*694/1000</f>
        <v>4.5110000000000001</v>
      </c>
      <c r="AB9" s="36"/>
      <c r="AC9" s="37">
        <f>IF(AA9&lt;0,0,AA9)</f>
        <v>4.5110000000000001</v>
      </c>
      <c r="AD9" s="38" t="s">
        <v>9</v>
      </c>
      <c r="AE9" s="87">
        <f>R.HN!G5</f>
        <v>0</v>
      </c>
      <c r="AF9" s="34">
        <f>IFERROR(AF8/AE9,0)</f>
        <v>0</v>
      </c>
      <c r="AG9" s="34">
        <f>($F$9-AF9)*694/1000</f>
        <v>4.5110000000000001</v>
      </c>
      <c r="AH9" s="36"/>
      <c r="AI9" s="37">
        <f>IF(AG9&lt;0,0,AG9)</f>
        <v>4.5110000000000001</v>
      </c>
      <c r="AJ9" s="38" t="s">
        <v>9</v>
      </c>
      <c r="AK9" s="87">
        <f>R.HN!H5</f>
        <v>0</v>
      </c>
      <c r="AL9" s="34">
        <f>IFERROR(AL8/AK9,0)</f>
        <v>0</v>
      </c>
      <c r="AM9" s="34">
        <f>($F$9-AL9)*694/1000</f>
        <v>4.5110000000000001</v>
      </c>
      <c r="AN9" s="36"/>
      <c r="AO9" s="37">
        <f>IF(AM9&lt;0,0,AM9)</f>
        <v>4.5110000000000001</v>
      </c>
      <c r="AP9" s="38" t="s">
        <v>9</v>
      </c>
      <c r="AQ9" s="264" t="s">
        <v>425</v>
      </c>
    </row>
    <row r="10" spans="1:45" ht="33.75" customHeight="1">
      <c r="A10" s="1201" t="s">
        <v>431</v>
      </c>
      <c r="B10" s="3561"/>
      <c r="C10" s="3564"/>
      <c r="D10" s="3559"/>
      <c r="E10" s="101" t="s">
        <v>1053</v>
      </c>
      <c r="F10" s="1224">
        <v>0.4</v>
      </c>
      <c r="G10" s="1225">
        <f>R.HN!C6</f>
        <v>0</v>
      </c>
      <c r="H10" s="1228">
        <f>G10</f>
        <v>0</v>
      </c>
      <c r="I10" s="34">
        <f>($F$10-H10)*5</f>
        <v>2</v>
      </c>
      <c r="J10" s="36"/>
      <c r="K10" s="39"/>
      <c r="L10" s="211" t="s">
        <v>9</v>
      </c>
      <c r="M10" s="243">
        <f>R.HN!D6</f>
        <v>0</v>
      </c>
      <c r="N10" s="1228">
        <f>M10</f>
        <v>0</v>
      </c>
      <c r="O10" s="34">
        <f>($F$10-N10)*5</f>
        <v>2</v>
      </c>
      <c r="P10" s="36"/>
      <c r="Q10" s="39"/>
      <c r="R10" s="38" t="s">
        <v>9</v>
      </c>
      <c r="S10" s="87">
        <f>R.HN!E6</f>
        <v>0</v>
      </c>
      <c r="T10" s="1228">
        <f>S10</f>
        <v>0</v>
      </c>
      <c r="U10" s="34">
        <f>($F$10-T10)*5</f>
        <v>2</v>
      </c>
      <c r="V10" s="36"/>
      <c r="W10" s="39"/>
      <c r="X10" s="38" t="s">
        <v>9</v>
      </c>
      <c r="Y10" s="87">
        <f>R.HN!F6</f>
        <v>0</v>
      </c>
      <c r="Z10" s="1228">
        <f>Y10</f>
        <v>0</v>
      </c>
      <c r="AA10" s="34">
        <f>($F$10-Z10)*5</f>
        <v>2</v>
      </c>
      <c r="AB10" s="36"/>
      <c r="AC10" s="39"/>
      <c r="AD10" s="38" t="s">
        <v>9</v>
      </c>
      <c r="AE10" s="87">
        <f>R.HN!G6</f>
        <v>0</v>
      </c>
      <c r="AF10" s="1228">
        <f>AE10</f>
        <v>0</v>
      </c>
      <c r="AG10" s="34">
        <f>($F$10-AF10)*5</f>
        <v>2</v>
      </c>
      <c r="AH10" s="36"/>
      <c r="AI10" s="39"/>
      <c r="AJ10" s="38" t="s">
        <v>9</v>
      </c>
      <c r="AK10" s="87">
        <f>R.HN!H6</f>
        <v>0</v>
      </c>
      <c r="AL10" s="1228">
        <f>AK10</f>
        <v>0</v>
      </c>
      <c r="AM10" s="34">
        <f>($F$10-AL10)*5</f>
        <v>2</v>
      </c>
      <c r="AN10" s="36"/>
      <c r="AO10" s="39" t="s">
        <v>432</v>
      </c>
      <c r="AP10" s="38" t="s">
        <v>9</v>
      </c>
      <c r="AQ10" s="264" t="s">
        <v>425</v>
      </c>
    </row>
    <row r="11" spans="1:45" ht="33.75" customHeight="1">
      <c r="A11" s="1201" t="s">
        <v>433</v>
      </c>
      <c r="B11" s="3354" t="s">
        <v>434</v>
      </c>
      <c r="C11" s="3562">
        <f>R.HN!B7</f>
        <v>4</v>
      </c>
      <c r="D11" s="3559" t="s">
        <v>429</v>
      </c>
      <c r="E11" s="101" t="s">
        <v>1051</v>
      </c>
      <c r="F11" s="1226">
        <v>50</v>
      </c>
      <c r="G11" s="1225">
        <f>R.HN!C7</f>
        <v>0</v>
      </c>
      <c r="H11" s="34">
        <f>G11*10</f>
        <v>0</v>
      </c>
      <c r="I11" s="34">
        <f>($F$8-H11)*2*694/1000</f>
        <v>69.400000000000006</v>
      </c>
      <c r="J11" s="36" t="s">
        <v>8</v>
      </c>
      <c r="K11" s="37">
        <f>IF(I11&lt;0,0,I11)</f>
        <v>69.400000000000006</v>
      </c>
      <c r="L11" s="211" t="s">
        <v>9</v>
      </c>
      <c r="M11" s="243">
        <f>R.HN!D7</f>
        <v>0</v>
      </c>
      <c r="N11" s="34">
        <f>M11*10</f>
        <v>0</v>
      </c>
      <c r="O11" s="34">
        <f>($F$8-N11)*2*694/1000</f>
        <v>69.400000000000006</v>
      </c>
      <c r="P11" s="36" t="s">
        <v>8</v>
      </c>
      <c r="Q11" s="37">
        <f>IF(O11&lt;0,0,O11)</f>
        <v>69.400000000000006</v>
      </c>
      <c r="R11" s="38" t="s">
        <v>9</v>
      </c>
      <c r="S11" s="87">
        <f>R.HN!E7</f>
        <v>0</v>
      </c>
      <c r="T11" s="34">
        <f>S11*10</f>
        <v>0</v>
      </c>
      <c r="U11" s="34">
        <f>($F$8-T11)*2*694/1000</f>
        <v>69.400000000000006</v>
      </c>
      <c r="V11" s="36" t="s">
        <v>8</v>
      </c>
      <c r="W11" s="37">
        <f>IF(U11&lt;0,0,U11)</f>
        <v>69.400000000000006</v>
      </c>
      <c r="X11" s="38" t="s">
        <v>9</v>
      </c>
      <c r="Y11" s="87">
        <f>R.HN!F7</f>
        <v>0</v>
      </c>
      <c r="Z11" s="34">
        <f>Y11*10</f>
        <v>0</v>
      </c>
      <c r="AA11" s="34">
        <f>($F$8-Z11)*2*694/1000</f>
        <v>69.400000000000006</v>
      </c>
      <c r="AB11" s="36" t="s">
        <v>8</v>
      </c>
      <c r="AC11" s="37">
        <f>IF(AA11&lt;0,0,AA11)</f>
        <v>69.400000000000006</v>
      </c>
      <c r="AD11" s="38" t="s">
        <v>9</v>
      </c>
      <c r="AE11" s="87">
        <f>R.HN!G7</f>
        <v>0</v>
      </c>
      <c r="AF11" s="34">
        <f>AE11*10</f>
        <v>0</v>
      </c>
      <c r="AG11" s="34">
        <f>($F$8-AF11)*2*694/1000</f>
        <v>69.400000000000006</v>
      </c>
      <c r="AH11" s="36" t="s">
        <v>8</v>
      </c>
      <c r="AI11" s="37">
        <f>IF(AG11&lt;0,0,AG11)</f>
        <v>69.400000000000006</v>
      </c>
      <c r="AJ11" s="38" t="s">
        <v>9</v>
      </c>
      <c r="AK11" s="87">
        <f>R.HN!H7</f>
        <v>0</v>
      </c>
      <c r="AL11" s="34">
        <f>AK11*10</f>
        <v>0</v>
      </c>
      <c r="AM11" s="34">
        <f>($F$8-AL11)*2*694/1000</f>
        <v>69.400000000000006</v>
      </c>
      <c r="AN11" s="36" t="s">
        <v>8</v>
      </c>
      <c r="AO11" s="37">
        <f>IF(AM11&lt;0,0,AM11)</f>
        <v>69.400000000000006</v>
      </c>
      <c r="AP11" s="38" t="s">
        <v>9</v>
      </c>
      <c r="AQ11" s="264" t="s">
        <v>425</v>
      </c>
    </row>
    <row r="12" spans="1:45" ht="33.75" customHeight="1">
      <c r="A12" s="1201" t="s">
        <v>435</v>
      </c>
      <c r="B12" s="3355"/>
      <c r="C12" s="3563"/>
      <c r="D12" s="3559"/>
      <c r="E12" s="101" t="s">
        <v>1052</v>
      </c>
      <c r="F12" s="1227">
        <v>6.5</v>
      </c>
      <c r="G12" s="1225">
        <f>R.HN!C8</f>
        <v>0</v>
      </c>
      <c r="H12" s="34">
        <f>IFERROR(H11/G12,0)</f>
        <v>0</v>
      </c>
      <c r="I12" s="34">
        <f>($F$9-H12)*694/1000</f>
        <v>4.5110000000000001</v>
      </c>
      <c r="J12" s="36"/>
      <c r="K12" s="37">
        <f>IF(I12&lt;0,0,I12)</f>
        <v>4.5110000000000001</v>
      </c>
      <c r="L12" s="211" t="s">
        <v>9</v>
      </c>
      <c r="M12" s="243">
        <f>R.HN!D8</f>
        <v>0</v>
      </c>
      <c r="N12" s="34">
        <f>IFERROR(N11/M12,0)</f>
        <v>0</v>
      </c>
      <c r="O12" s="34">
        <f>($F$9-N12)*694/1000</f>
        <v>4.5110000000000001</v>
      </c>
      <c r="P12" s="36"/>
      <c r="Q12" s="37">
        <f>IF(O12&lt;0,0,O12)</f>
        <v>4.5110000000000001</v>
      </c>
      <c r="R12" s="38" t="s">
        <v>9</v>
      </c>
      <c r="S12" s="87">
        <f>R.HN!E8</f>
        <v>0</v>
      </c>
      <c r="T12" s="34">
        <f>IFERROR(T11/S12,0)</f>
        <v>0</v>
      </c>
      <c r="U12" s="34">
        <f>($F$9-T12)*694/1000</f>
        <v>4.5110000000000001</v>
      </c>
      <c r="V12" s="36"/>
      <c r="W12" s="37">
        <f>IF(U12&lt;0,0,U12)</f>
        <v>4.5110000000000001</v>
      </c>
      <c r="X12" s="38" t="s">
        <v>9</v>
      </c>
      <c r="Y12" s="87">
        <f>R.HN!F8</f>
        <v>0</v>
      </c>
      <c r="Z12" s="34">
        <f>IFERROR(Z11/Y12,0)</f>
        <v>0</v>
      </c>
      <c r="AA12" s="34">
        <f>($F$9-Z12)*694/1000</f>
        <v>4.5110000000000001</v>
      </c>
      <c r="AB12" s="36"/>
      <c r="AC12" s="37">
        <f>IF(AA12&lt;0,0,AA12)</f>
        <v>4.5110000000000001</v>
      </c>
      <c r="AD12" s="38" t="s">
        <v>9</v>
      </c>
      <c r="AE12" s="87">
        <f>R.HN!G8</f>
        <v>0</v>
      </c>
      <c r="AF12" s="34">
        <f>IFERROR(AF11/AE12,0)</f>
        <v>0</v>
      </c>
      <c r="AG12" s="34">
        <f>($F$9-AF12)*694/1000</f>
        <v>4.5110000000000001</v>
      </c>
      <c r="AH12" s="36"/>
      <c r="AI12" s="37">
        <f>IF(AG12&lt;0,0,AG12)</f>
        <v>4.5110000000000001</v>
      </c>
      <c r="AJ12" s="38" t="s">
        <v>9</v>
      </c>
      <c r="AK12" s="87">
        <f>R.HN!H8</f>
        <v>0</v>
      </c>
      <c r="AL12" s="34">
        <f>IFERROR(AL11/AK12,0)</f>
        <v>0</v>
      </c>
      <c r="AM12" s="34">
        <f>($F$9-AL12)*694/1000</f>
        <v>4.5110000000000001</v>
      </c>
      <c r="AN12" s="36"/>
      <c r="AO12" s="37">
        <f>IF(AM12&lt;0,0,AM12)</f>
        <v>4.5110000000000001</v>
      </c>
      <c r="AP12" s="38" t="s">
        <v>9</v>
      </c>
      <c r="AQ12" s="264" t="s">
        <v>425</v>
      </c>
    </row>
    <row r="13" spans="1:45" ht="33.75" customHeight="1">
      <c r="A13" s="1201" t="s">
        <v>436</v>
      </c>
      <c r="B13" s="3561"/>
      <c r="C13" s="3564"/>
      <c r="D13" s="3559"/>
      <c r="E13" s="101" t="s">
        <v>1053</v>
      </c>
      <c r="F13" s="1224">
        <v>0.4</v>
      </c>
      <c r="G13" s="1225">
        <f>R.HN!C9</f>
        <v>0</v>
      </c>
      <c r="H13" s="1228">
        <f>G13</f>
        <v>0</v>
      </c>
      <c r="I13" s="34">
        <f>($F$10-H13)*5</f>
        <v>2</v>
      </c>
      <c r="J13" s="36"/>
      <c r="K13" s="39"/>
      <c r="L13" s="211" t="s">
        <v>9</v>
      </c>
      <c r="M13" s="243">
        <f>R.HN!D9</f>
        <v>0</v>
      </c>
      <c r="N13" s="1228">
        <f>M13</f>
        <v>0</v>
      </c>
      <c r="O13" s="34">
        <f>($F$10-N13)*5</f>
        <v>2</v>
      </c>
      <c r="P13" s="36"/>
      <c r="Q13" s="39"/>
      <c r="R13" s="38" t="s">
        <v>9</v>
      </c>
      <c r="S13" s="87">
        <f>R.HN!E9</f>
        <v>0</v>
      </c>
      <c r="T13" s="1228">
        <f>S13</f>
        <v>0</v>
      </c>
      <c r="U13" s="34">
        <f>($F$10-T13)*5</f>
        <v>2</v>
      </c>
      <c r="V13" s="36"/>
      <c r="W13" s="39"/>
      <c r="X13" s="38" t="s">
        <v>9</v>
      </c>
      <c r="Y13" s="87">
        <f>R.HN!F9</f>
        <v>0</v>
      </c>
      <c r="Z13" s="1228">
        <f>Y13</f>
        <v>0</v>
      </c>
      <c r="AA13" s="34">
        <f>($F$10-Z13)*5</f>
        <v>2</v>
      </c>
      <c r="AB13" s="36"/>
      <c r="AC13" s="39"/>
      <c r="AD13" s="38" t="s">
        <v>9</v>
      </c>
      <c r="AE13" s="87">
        <f>R.HN!G9</f>
        <v>0</v>
      </c>
      <c r="AF13" s="1228">
        <f>AE13</f>
        <v>0</v>
      </c>
      <c r="AG13" s="34">
        <f>($F$10-AF13)*5</f>
        <v>2</v>
      </c>
      <c r="AH13" s="36"/>
      <c r="AI13" s="39"/>
      <c r="AJ13" s="38" t="s">
        <v>9</v>
      </c>
      <c r="AK13" s="87">
        <f>R.HN!H9</f>
        <v>0</v>
      </c>
      <c r="AL13" s="1228">
        <f>AK13</f>
        <v>0</v>
      </c>
      <c r="AM13" s="34">
        <f>($F$10-AL13)*5</f>
        <v>2</v>
      </c>
      <c r="AN13" s="36"/>
      <c r="AO13" s="39" t="s">
        <v>432</v>
      </c>
      <c r="AP13" s="38" t="s">
        <v>9</v>
      </c>
      <c r="AQ13" s="264" t="s">
        <v>425</v>
      </c>
    </row>
    <row r="14" spans="1:45" ht="33.75" customHeight="1">
      <c r="A14" s="1201" t="s">
        <v>437</v>
      </c>
      <c r="B14" s="3553" t="s">
        <v>438</v>
      </c>
      <c r="C14" s="3554"/>
      <c r="D14" s="44" t="s">
        <v>429</v>
      </c>
      <c r="E14" s="101" t="s">
        <v>439</v>
      </c>
      <c r="F14" s="1227">
        <v>1</v>
      </c>
      <c r="G14" s="1225">
        <f>R.HN!C10</f>
        <v>0</v>
      </c>
      <c r="H14" s="34">
        <f>G14</f>
        <v>0</v>
      </c>
      <c r="I14" s="34">
        <f>($F$14-H14)*546/1000*8</f>
        <v>4.3680000000000003</v>
      </c>
      <c r="J14" s="36" t="s">
        <v>8</v>
      </c>
      <c r="K14" s="39">
        <f>IF(I14&lt;0,0,I14)</f>
        <v>4.3680000000000003</v>
      </c>
      <c r="L14" s="211" t="s">
        <v>9</v>
      </c>
      <c r="M14" s="243">
        <f>R.HN!D10</f>
        <v>0</v>
      </c>
      <c r="N14" s="34">
        <f>M14</f>
        <v>0</v>
      </c>
      <c r="O14" s="34">
        <f>($F$14-N14)*546/1000*8</f>
        <v>4.3680000000000003</v>
      </c>
      <c r="P14" s="36" t="s">
        <v>8</v>
      </c>
      <c r="Q14" s="39">
        <f>IF(O14&lt;0,0,O14)</f>
        <v>4.3680000000000003</v>
      </c>
      <c r="R14" s="38" t="s">
        <v>9</v>
      </c>
      <c r="S14" s="87">
        <f>R.HN!E10</f>
        <v>0</v>
      </c>
      <c r="T14" s="34">
        <f>S14</f>
        <v>0</v>
      </c>
      <c r="U14" s="34">
        <f>($F$14-T14)*546/1000*8</f>
        <v>4.3680000000000003</v>
      </c>
      <c r="V14" s="36" t="s">
        <v>8</v>
      </c>
      <c r="W14" s="39">
        <f>IF(U14&lt;0,0,U14)</f>
        <v>4.3680000000000003</v>
      </c>
      <c r="X14" s="38" t="s">
        <v>9</v>
      </c>
      <c r="Y14" s="87">
        <f>R.HN!F10</f>
        <v>0</v>
      </c>
      <c r="Z14" s="34">
        <f>Y14</f>
        <v>0</v>
      </c>
      <c r="AA14" s="34">
        <f>($F$14-Z14)*546/1000*8</f>
        <v>4.3680000000000003</v>
      </c>
      <c r="AB14" s="36" t="s">
        <v>8</v>
      </c>
      <c r="AC14" s="39">
        <f>IF(AA14&lt;0,0,AA14)</f>
        <v>4.3680000000000003</v>
      </c>
      <c r="AD14" s="38" t="s">
        <v>9</v>
      </c>
      <c r="AE14" s="87">
        <f>R.HN!G10</f>
        <v>0</v>
      </c>
      <c r="AF14" s="34">
        <f>AE14</f>
        <v>0</v>
      </c>
      <c r="AG14" s="34">
        <f>($F$14-AF14)*546/1000*8</f>
        <v>4.3680000000000003</v>
      </c>
      <c r="AH14" s="36" t="s">
        <v>8</v>
      </c>
      <c r="AI14" s="39">
        <f>IF(AG14&lt;0,0,AG14)</f>
        <v>4.3680000000000003</v>
      </c>
      <c r="AJ14" s="38" t="s">
        <v>9</v>
      </c>
      <c r="AK14" s="87">
        <f>R.HN!H10</f>
        <v>0</v>
      </c>
      <c r="AL14" s="34">
        <f>AK14</f>
        <v>0</v>
      </c>
      <c r="AM14" s="34">
        <f>($F$14-AL14)*546/1000*8</f>
        <v>4.3680000000000003</v>
      </c>
      <c r="AN14" s="36" t="s">
        <v>8</v>
      </c>
      <c r="AO14" s="39">
        <f>IF(AM14&lt;0,0,AM14)</f>
        <v>4.3680000000000003</v>
      </c>
      <c r="AP14" s="38" t="s">
        <v>9</v>
      </c>
      <c r="AQ14" s="264" t="s">
        <v>425</v>
      </c>
    </row>
    <row r="15" spans="1:45" ht="31.5" customHeight="1">
      <c r="A15" s="1201" t="s">
        <v>440</v>
      </c>
      <c r="B15" s="3565"/>
      <c r="C15" s="3566"/>
      <c r="D15" s="44" t="s">
        <v>5</v>
      </c>
      <c r="E15" s="101" t="s">
        <v>1159</v>
      </c>
      <c r="F15" s="1229">
        <v>9.5</v>
      </c>
      <c r="G15" s="1225">
        <f>R.HN!C11</f>
        <v>0</v>
      </c>
      <c r="H15" s="34">
        <f>G15</f>
        <v>0</v>
      </c>
      <c r="I15" s="34"/>
      <c r="J15" s="36"/>
      <c r="K15" s="37"/>
      <c r="L15" s="211"/>
      <c r="M15" s="243">
        <f>R.HN!D11</f>
        <v>0</v>
      </c>
      <c r="N15" s="34">
        <f>M15</f>
        <v>0</v>
      </c>
      <c r="O15" s="34"/>
      <c r="P15" s="36"/>
      <c r="Q15" s="37"/>
      <c r="R15" s="38"/>
      <c r="S15" s="87">
        <f>R.HN!E11</f>
        <v>0</v>
      </c>
      <c r="T15" s="34">
        <f>S15</f>
        <v>0</v>
      </c>
      <c r="U15" s="34"/>
      <c r="V15" s="36"/>
      <c r="W15" s="37"/>
      <c r="X15" s="38"/>
      <c r="Y15" s="87">
        <f>R.HN!F11</f>
        <v>0</v>
      </c>
      <c r="Z15" s="34">
        <f>Y15</f>
        <v>0</v>
      </c>
      <c r="AA15" s="34"/>
      <c r="AB15" s="36"/>
      <c r="AC15" s="37"/>
      <c r="AD15" s="38"/>
      <c r="AE15" s="87">
        <f>R.HN!G11</f>
        <v>0</v>
      </c>
      <c r="AF15" s="34">
        <f>AE15</f>
        <v>0</v>
      </c>
      <c r="AG15" s="34"/>
      <c r="AH15" s="36"/>
      <c r="AI15" s="37"/>
      <c r="AJ15" s="38"/>
      <c r="AK15" s="87">
        <f>R.HN!H11</f>
        <v>0</v>
      </c>
      <c r="AL15" s="34">
        <f>AK15</f>
        <v>0</v>
      </c>
      <c r="AM15" s="34"/>
      <c r="AN15" s="36"/>
      <c r="AO15" s="37"/>
      <c r="AP15" s="38"/>
      <c r="AQ15" s="264" t="s">
        <v>425</v>
      </c>
    </row>
    <row r="16" spans="1:45" ht="39" customHeight="1">
      <c r="A16" s="284" t="s">
        <v>72</v>
      </c>
      <c r="B16" s="285"/>
      <c r="C16" s="285"/>
      <c r="D16" s="285"/>
      <c r="E16" s="282"/>
      <c r="F16" s="285"/>
      <c r="G16" s="285"/>
      <c r="H16" s="285"/>
      <c r="I16" s="285"/>
      <c r="J16" s="285"/>
      <c r="K16" s="285"/>
      <c r="L16" s="285"/>
      <c r="M16" s="285"/>
      <c r="N16" s="286"/>
      <c r="O16" s="285"/>
      <c r="P16" s="285"/>
      <c r="Q16" s="285"/>
      <c r="R16" s="286"/>
      <c r="S16" s="285"/>
      <c r="T16" s="286"/>
      <c r="U16" s="285"/>
      <c r="V16" s="285"/>
      <c r="W16" s="285"/>
      <c r="X16" s="285"/>
      <c r="Y16" s="285"/>
      <c r="Z16" s="285"/>
      <c r="AA16" s="285"/>
      <c r="AB16" s="285"/>
      <c r="AC16" s="285"/>
      <c r="AD16" s="285"/>
      <c r="AE16" s="286"/>
      <c r="AF16" s="286"/>
      <c r="AG16" s="286"/>
      <c r="AH16" s="286"/>
      <c r="AI16" s="286"/>
      <c r="AJ16" s="286"/>
      <c r="AK16" s="286"/>
      <c r="AL16" s="286"/>
      <c r="AM16" s="286"/>
      <c r="AN16" s="286"/>
      <c r="AO16" s="286"/>
      <c r="AP16" s="1001"/>
    </row>
    <row r="17" spans="1:43" ht="50.25" customHeight="1">
      <c r="A17" s="1201" t="s">
        <v>236</v>
      </c>
      <c r="B17" s="3370" t="s">
        <v>60</v>
      </c>
      <c r="C17" s="3372"/>
      <c r="D17" s="277" t="s">
        <v>62</v>
      </c>
      <c r="E17" s="277" t="s">
        <v>63</v>
      </c>
      <c r="F17" s="1230"/>
      <c r="G17" s="1230"/>
      <c r="H17" s="279" t="s">
        <v>45</v>
      </c>
      <c r="I17" s="280"/>
      <c r="J17" s="280"/>
      <c r="K17" s="279" t="s">
        <v>61</v>
      </c>
      <c r="L17" s="293"/>
      <c r="M17" s="277"/>
      <c r="N17" s="279" t="s">
        <v>45</v>
      </c>
      <c r="O17" s="280"/>
      <c r="P17" s="280"/>
      <c r="Q17" s="279" t="s">
        <v>61</v>
      </c>
      <c r="R17" s="293"/>
      <c r="S17" s="90"/>
      <c r="T17" s="279" t="s">
        <v>45</v>
      </c>
      <c r="U17" s="280"/>
      <c r="V17" s="280"/>
      <c r="W17" s="279" t="s">
        <v>61</v>
      </c>
      <c r="X17" s="293"/>
      <c r="Y17" s="91"/>
      <c r="Z17" s="279" t="s">
        <v>45</v>
      </c>
      <c r="AA17" s="280"/>
      <c r="AB17" s="280"/>
      <c r="AC17" s="279" t="s">
        <v>61</v>
      </c>
      <c r="AD17" s="293"/>
      <c r="AE17" s="91"/>
      <c r="AF17" s="279" t="s">
        <v>45</v>
      </c>
      <c r="AG17" s="280"/>
      <c r="AH17" s="280"/>
      <c r="AI17" s="279" t="s">
        <v>61</v>
      </c>
      <c r="AJ17" s="293"/>
      <c r="AK17" s="91"/>
      <c r="AL17" s="279" t="s">
        <v>45</v>
      </c>
      <c r="AM17" s="280"/>
      <c r="AN17" s="280"/>
      <c r="AO17" s="279" t="s">
        <v>61</v>
      </c>
      <c r="AP17" s="293"/>
    </row>
    <row r="18" spans="1:43" ht="40.5" customHeight="1">
      <c r="A18" s="1201" t="s">
        <v>442</v>
      </c>
      <c r="B18" s="3370" t="s">
        <v>443</v>
      </c>
      <c r="C18" s="3372"/>
      <c r="D18" s="21" t="s">
        <v>104</v>
      </c>
      <c r="E18" s="101" t="s">
        <v>1160</v>
      </c>
      <c r="F18" s="95"/>
      <c r="G18" s="95"/>
      <c r="H18" s="3098"/>
      <c r="I18" s="3099"/>
      <c r="J18" s="3099"/>
      <c r="K18" s="3098"/>
      <c r="L18" s="3099"/>
      <c r="M18" s="91"/>
      <c r="N18" s="3098"/>
      <c r="O18" s="3099"/>
      <c r="P18" s="3099"/>
      <c r="Q18" s="3098"/>
      <c r="R18" s="3099"/>
      <c r="S18" s="91"/>
      <c r="T18" s="3098"/>
      <c r="U18" s="3099"/>
      <c r="V18" s="3099"/>
      <c r="W18" s="3098"/>
      <c r="X18" s="3099"/>
      <c r="Y18" s="91"/>
      <c r="Z18" s="3098"/>
      <c r="AA18" s="3099"/>
      <c r="AB18" s="3099"/>
      <c r="AC18" s="3098"/>
      <c r="AD18" s="3099"/>
      <c r="AE18" s="91"/>
      <c r="AF18" s="3098"/>
      <c r="AG18" s="3099"/>
      <c r="AH18" s="3099"/>
      <c r="AI18" s="3098"/>
      <c r="AJ18" s="3099"/>
      <c r="AK18" s="91"/>
      <c r="AL18" s="3098"/>
      <c r="AM18" s="3099"/>
      <c r="AN18" s="3099"/>
      <c r="AO18" s="3184"/>
      <c r="AP18" s="3184"/>
      <c r="AQ18" s="264" t="s">
        <v>425</v>
      </c>
    </row>
    <row r="19" spans="1:43" ht="40.5" customHeight="1">
      <c r="A19" s="1201" t="s">
        <v>444</v>
      </c>
      <c r="B19" s="3370" t="s">
        <v>445</v>
      </c>
      <c r="C19" s="3372"/>
      <c r="D19" s="21" t="s">
        <v>104</v>
      </c>
      <c r="E19" s="101" t="s">
        <v>1160</v>
      </c>
      <c r="F19" s="95"/>
      <c r="G19" s="95"/>
      <c r="H19" s="3098"/>
      <c r="I19" s="3099"/>
      <c r="J19" s="3099"/>
      <c r="K19" s="3098"/>
      <c r="L19" s="3099"/>
      <c r="M19" s="91"/>
      <c r="N19" s="3098"/>
      <c r="O19" s="3099"/>
      <c r="P19" s="3099"/>
      <c r="Q19" s="3098"/>
      <c r="R19" s="3099"/>
      <c r="S19" s="91"/>
      <c r="T19" s="3098"/>
      <c r="U19" s="3099"/>
      <c r="V19" s="3099"/>
      <c r="W19" s="3098"/>
      <c r="X19" s="3099"/>
      <c r="Y19" s="91"/>
      <c r="Z19" s="3098"/>
      <c r="AA19" s="3099"/>
      <c r="AB19" s="3099"/>
      <c r="AC19" s="3098"/>
      <c r="AD19" s="3099"/>
      <c r="AE19" s="91"/>
      <c r="AF19" s="3098"/>
      <c r="AG19" s="3099"/>
      <c r="AH19" s="3099"/>
      <c r="AI19" s="3098"/>
      <c r="AJ19" s="3099"/>
      <c r="AK19" s="91"/>
      <c r="AL19" s="3098"/>
      <c r="AM19" s="3099"/>
      <c r="AN19" s="3099"/>
      <c r="AO19" s="3184"/>
      <c r="AP19" s="3184"/>
      <c r="AQ19" s="264" t="s">
        <v>425</v>
      </c>
    </row>
    <row r="20" spans="1:43" ht="40.5" customHeight="1">
      <c r="A20" s="1201" t="s">
        <v>446</v>
      </c>
      <c r="B20" s="3370" t="s">
        <v>438</v>
      </c>
      <c r="C20" s="3372"/>
      <c r="D20" s="21" t="s">
        <v>104</v>
      </c>
      <c r="E20" s="101" t="s">
        <v>1161</v>
      </c>
      <c r="F20" s="95"/>
      <c r="G20" s="95"/>
      <c r="H20" s="3098"/>
      <c r="I20" s="3099"/>
      <c r="J20" s="3099"/>
      <c r="K20" s="3098"/>
      <c r="L20" s="3099"/>
      <c r="M20" s="91"/>
      <c r="N20" s="3098"/>
      <c r="O20" s="3099"/>
      <c r="P20" s="3099"/>
      <c r="Q20" s="3098"/>
      <c r="R20" s="3099"/>
      <c r="S20" s="91"/>
      <c r="T20" s="3098"/>
      <c r="U20" s="3099"/>
      <c r="V20" s="3099"/>
      <c r="W20" s="3098"/>
      <c r="X20" s="3099"/>
      <c r="Y20" s="91"/>
      <c r="Z20" s="3098"/>
      <c r="AA20" s="3099"/>
      <c r="AB20" s="3099"/>
      <c r="AC20" s="3098"/>
      <c r="AD20" s="3099"/>
      <c r="AE20" s="91"/>
      <c r="AF20" s="3098"/>
      <c r="AG20" s="3099"/>
      <c r="AH20" s="3099"/>
      <c r="AI20" s="3098"/>
      <c r="AJ20" s="3099"/>
      <c r="AK20" s="91"/>
      <c r="AL20" s="3098"/>
      <c r="AM20" s="3099"/>
      <c r="AN20" s="3099"/>
      <c r="AO20" s="3184"/>
      <c r="AP20" s="3184"/>
      <c r="AQ20" s="264" t="s">
        <v>425</v>
      </c>
    </row>
    <row r="21" spans="1:43" ht="23.25" customHeight="1">
      <c r="A21" s="1231"/>
      <c r="B21" s="1231"/>
      <c r="C21" s="1231"/>
      <c r="D21" s="1231"/>
      <c r="E21" s="1231"/>
      <c r="F21" s="1231"/>
      <c r="G21" s="1231"/>
      <c r="H21" s="1232"/>
      <c r="I21" s="1232"/>
      <c r="J21" s="1232"/>
      <c r="K21" s="1232"/>
      <c r="L21" s="1232"/>
      <c r="M21" s="1232"/>
      <c r="N21" s="1232"/>
      <c r="O21" s="1232"/>
      <c r="P21" s="1232"/>
      <c r="Q21" s="1232"/>
      <c r="R21" s="1232"/>
      <c r="S21" s="1232"/>
      <c r="T21" s="1232"/>
      <c r="U21" s="1232"/>
      <c r="V21" s="1232"/>
      <c r="W21" s="1232"/>
      <c r="X21" s="1232"/>
      <c r="Y21" s="1232"/>
      <c r="Z21" s="1232"/>
      <c r="AA21" s="1232"/>
      <c r="AB21" s="1232"/>
      <c r="AC21" s="1232"/>
      <c r="AD21" s="1232"/>
      <c r="AP21" s="264"/>
    </row>
    <row r="22" spans="1:43" ht="41.25" customHeight="1">
      <c r="A22" s="1954" t="s">
        <v>901</v>
      </c>
      <c r="B22" s="1955"/>
      <c r="C22" s="1956"/>
      <c r="D22" s="1956"/>
      <c r="E22" s="1957"/>
      <c r="F22" s="1958" t="s">
        <v>71</v>
      </c>
      <c r="G22" s="1902"/>
      <c r="H22" s="1959" t="s">
        <v>71</v>
      </c>
      <c r="I22" s="1959"/>
      <c r="J22" s="1959"/>
      <c r="K22" s="1959"/>
      <c r="L22" s="1959"/>
      <c r="M22" s="1959"/>
      <c r="N22" s="1959"/>
      <c r="O22" s="1959"/>
      <c r="P22" s="1959"/>
      <c r="Q22" s="1959"/>
      <c r="R22" s="1959"/>
      <c r="S22" s="1959"/>
      <c r="T22" s="1959"/>
      <c r="U22" s="1959"/>
      <c r="V22" s="1959"/>
      <c r="W22" s="1959"/>
      <c r="X22" s="1959"/>
      <c r="Y22" s="1959"/>
      <c r="Z22" s="1959"/>
      <c r="AA22" s="1959"/>
      <c r="AB22" s="1959"/>
      <c r="AC22" s="1959"/>
      <c r="AD22" s="1959"/>
      <c r="AE22" s="1959"/>
      <c r="AF22" s="1959"/>
      <c r="AG22" s="1959"/>
      <c r="AH22" s="1959"/>
      <c r="AI22" s="1959"/>
      <c r="AJ22" s="1959"/>
      <c r="AK22" s="1959"/>
      <c r="AL22" s="1959"/>
      <c r="AM22" s="1959"/>
      <c r="AN22" s="1959"/>
      <c r="AO22" s="1959"/>
      <c r="AP22" s="1959"/>
    </row>
    <row r="23" spans="1:43" ht="30" customHeight="1">
      <c r="A23" s="417"/>
      <c r="B23" s="3568" t="s">
        <v>75</v>
      </c>
      <c r="C23" s="3569"/>
      <c r="D23" s="3572" t="s">
        <v>123</v>
      </c>
      <c r="E23" s="3574" t="s">
        <v>63</v>
      </c>
      <c r="F23" s="1233"/>
      <c r="G23" s="83"/>
      <c r="H23" s="3567" t="s">
        <v>469</v>
      </c>
      <c r="I23" s="3567"/>
      <c r="J23" s="3567"/>
      <c r="K23" s="3567"/>
      <c r="L23" s="3567"/>
      <c r="M23" s="1222"/>
      <c r="N23" s="3560" t="s">
        <v>1449</v>
      </c>
      <c r="O23" s="3560"/>
      <c r="P23" s="3560"/>
      <c r="Q23" s="3560"/>
      <c r="R23" s="3560"/>
      <c r="S23" s="1222"/>
      <c r="T23" s="3567" t="s">
        <v>1450</v>
      </c>
      <c r="U23" s="3567"/>
      <c r="V23" s="3567"/>
      <c r="W23" s="3567"/>
      <c r="X23" s="3567"/>
      <c r="Y23" s="1222"/>
      <c r="Z23" s="3567" t="s">
        <v>1451</v>
      </c>
      <c r="AA23" s="3567"/>
      <c r="AB23" s="3567"/>
      <c r="AC23" s="3567"/>
      <c r="AD23" s="3567"/>
      <c r="AE23" s="1222"/>
      <c r="AF23" s="3567" t="s">
        <v>1452</v>
      </c>
      <c r="AG23" s="3567"/>
      <c r="AH23" s="3567"/>
      <c r="AI23" s="3567"/>
      <c r="AJ23" s="3567"/>
      <c r="AK23" s="1222"/>
      <c r="AL23" s="3567" t="s">
        <v>1453</v>
      </c>
      <c r="AM23" s="3567"/>
      <c r="AN23" s="3567"/>
      <c r="AO23" s="3567"/>
      <c r="AP23" s="3567"/>
    </row>
    <row r="24" spans="1:43" ht="30" customHeight="1">
      <c r="A24" s="1200" t="s">
        <v>236</v>
      </c>
      <c r="B24" s="3570"/>
      <c r="C24" s="3571"/>
      <c r="D24" s="3573"/>
      <c r="E24" s="3575"/>
      <c r="F24" s="1223" t="s">
        <v>420</v>
      </c>
      <c r="G24" s="20"/>
      <c r="H24" s="1199" t="s">
        <v>128</v>
      </c>
      <c r="I24" s="33" t="s">
        <v>1</v>
      </c>
      <c r="J24" s="282" t="s">
        <v>1</v>
      </c>
      <c r="K24" s="282"/>
      <c r="L24" s="283"/>
      <c r="M24" s="84"/>
      <c r="N24" s="1199" t="s">
        <v>128</v>
      </c>
      <c r="O24" s="33" t="s">
        <v>1</v>
      </c>
      <c r="P24" s="282" t="s">
        <v>1</v>
      </c>
      <c r="Q24" s="282"/>
      <c r="R24" s="283"/>
      <c r="S24" s="20"/>
      <c r="T24" s="1199" t="s">
        <v>128</v>
      </c>
      <c r="U24" s="33" t="s">
        <v>1</v>
      </c>
      <c r="V24" s="282" t="s">
        <v>1</v>
      </c>
      <c r="W24" s="282"/>
      <c r="X24" s="283"/>
      <c r="Y24" s="84"/>
      <c r="Z24" s="1199" t="s">
        <v>128</v>
      </c>
      <c r="AA24" s="33" t="s">
        <v>1</v>
      </c>
      <c r="AB24" s="282" t="s">
        <v>1</v>
      </c>
      <c r="AC24" s="282"/>
      <c r="AD24" s="283"/>
      <c r="AE24" s="84"/>
      <c r="AF24" s="1199" t="s">
        <v>128</v>
      </c>
      <c r="AG24" s="33" t="s">
        <v>1</v>
      </c>
      <c r="AH24" s="282" t="s">
        <v>1</v>
      </c>
      <c r="AI24" s="282"/>
      <c r="AJ24" s="283"/>
      <c r="AK24" s="84"/>
      <c r="AL24" s="1199" t="s">
        <v>128</v>
      </c>
      <c r="AM24" s="33" t="s">
        <v>1</v>
      </c>
      <c r="AN24" s="282" t="s">
        <v>1</v>
      </c>
      <c r="AO24" s="282"/>
      <c r="AP24" s="283"/>
    </row>
    <row r="25" spans="1:43" ht="30" customHeight="1">
      <c r="A25" s="1201" t="s">
        <v>1162</v>
      </c>
      <c r="B25" s="3410" t="s">
        <v>447</v>
      </c>
      <c r="C25" s="3412"/>
      <c r="D25" s="274" t="s">
        <v>429</v>
      </c>
      <c r="E25" s="101" t="s">
        <v>448</v>
      </c>
      <c r="F25" s="1226">
        <v>40</v>
      </c>
      <c r="G25" s="1225">
        <f>R.HN!C16</f>
        <v>4.0999999999999996</v>
      </c>
      <c r="H25" s="34">
        <f>G25*10</f>
        <v>41</v>
      </c>
      <c r="I25" s="34">
        <f>($F$25-H25)*2330/1000</f>
        <v>-2.33</v>
      </c>
      <c r="J25" s="36" t="s">
        <v>8</v>
      </c>
      <c r="K25" s="39">
        <f>IF(I25&lt;0,0,I25)</f>
        <v>0</v>
      </c>
      <c r="L25" s="211" t="s">
        <v>9</v>
      </c>
      <c r="M25" s="1225">
        <f>R.HN!D16</f>
        <v>4</v>
      </c>
      <c r="N25" s="34">
        <f>M25*10</f>
        <v>40</v>
      </c>
      <c r="O25" s="34">
        <f>($F$25-N25)*2330/1000</f>
        <v>0</v>
      </c>
      <c r="P25" s="36" t="s">
        <v>8</v>
      </c>
      <c r="Q25" s="39">
        <f>IF(O25&lt;0,0,O25)</f>
        <v>0</v>
      </c>
      <c r="R25" s="211" t="s">
        <v>9</v>
      </c>
      <c r="S25" s="1225">
        <f>R.HN!E16</f>
        <v>3.8</v>
      </c>
      <c r="T25" s="34">
        <f>S25*10</f>
        <v>38</v>
      </c>
      <c r="U25" s="34">
        <f>($F$25-T25)*2330/1000</f>
        <v>4.66</v>
      </c>
      <c r="V25" s="36" t="s">
        <v>8</v>
      </c>
      <c r="W25" s="39">
        <f>IF(U25&lt;0,0,U25)</f>
        <v>4.66</v>
      </c>
      <c r="X25" s="211" t="s">
        <v>9</v>
      </c>
      <c r="Y25" s="1225">
        <f>R.HN!F16</f>
        <v>4</v>
      </c>
      <c r="Z25" s="34">
        <f>Y25*10</f>
        <v>40</v>
      </c>
      <c r="AA25" s="34">
        <f>($F$25-Z25)*2330/1000</f>
        <v>0</v>
      </c>
      <c r="AB25" s="36" t="s">
        <v>8</v>
      </c>
      <c r="AC25" s="39">
        <f>IF(AA25&lt;0,0,AA25)</f>
        <v>0</v>
      </c>
      <c r="AD25" s="211" t="s">
        <v>9</v>
      </c>
      <c r="AE25" s="1225">
        <f>R.HN!G16</f>
        <v>5.4</v>
      </c>
      <c r="AF25" s="34">
        <v>41</v>
      </c>
      <c r="AG25" s="34">
        <f>($F$25-AF25)*2330/1000</f>
        <v>-2.33</v>
      </c>
      <c r="AH25" s="36" t="s">
        <v>8</v>
      </c>
      <c r="AI25" s="39">
        <f>IF(AG25&lt;0,0,AG25)</f>
        <v>0</v>
      </c>
      <c r="AJ25" s="211" t="s">
        <v>9</v>
      </c>
      <c r="AK25" s="1225">
        <f>R.HN!H16</f>
        <v>3.8</v>
      </c>
      <c r="AL25" s="34">
        <v>40</v>
      </c>
      <c r="AM25" s="34">
        <f>($F$25-AL25)*2330/1000</f>
        <v>0</v>
      </c>
      <c r="AN25" s="36" t="s">
        <v>8</v>
      </c>
      <c r="AO25" s="39">
        <f>IF(AM25&lt;0,0,AM25)</f>
        <v>0</v>
      </c>
      <c r="AP25" s="38" t="s">
        <v>9</v>
      </c>
      <c r="AQ25" s="264" t="s">
        <v>449</v>
      </c>
    </row>
    <row r="26" spans="1:43" ht="30" customHeight="1">
      <c r="A26" s="1201" t="s">
        <v>920</v>
      </c>
      <c r="B26" s="3410" t="s">
        <v>834</v>
      </c>
      <c r="C26" s="3412"/>
      <c r="D26" s="1036" t="s">
        <v>3</v>
      </c>
      <c r="E26" s="101" t="s">
        <v>424</v>
      </c>
      <c r="F26" s="1224">
        <v>12.5</v>
      </c>
      <c r="G26" s="1225">
        <f>R.HN!C17</f>
        <v>2.9</v>
      </c>
      <c r="H26" s="34">
        <f>(1*G26*36.5)/(1*10)</f>
        <v>10.584999999999999</v>
      </c>
      <c r="I26" s="34">
        <f>($F$26-H26)*2605/32</f>
        <v>155.89296875000008</v>
      </c>
      <c r="J26" s="36" t="s">
        <v>8</v>
      </c>
      <c r="K26" s="37">
        <f>IF(I26&lt;0,0,I26)</f>
        <v>155.89296875000008</v>
      </c>
      <c r="L26" s="211" t="s">
        <v>10</v>
      </c>
      <c r="M26" s="1225">
        <f>R.HN!D17</f>
        <v>3.1</v>
      </c>
      <c r="N26" s="34">
        <f>(1*M26*36.5)/(1*10)</f>
        <v>11.315000000000001</v>
      </c>
      <c r="O26" s="34">
        <f>($F$26-N26)*2605/32</f>
        <v>96.466406249999892</v>
      </c>
      <c r="P26" s="36" t="s">
        <v>8</v>
      </c>
      <c r="Q26" s="37">
        <f>IF(O26&lt;0,0,O26)</f>
        <v>96.466406249999892</v>
      </c>
      <c r="R26" s="211" t="s">
        <v>10</v>
      </c>
      <c r="S26" s="1225">
        <f>R.HN!E17</f>
        <v>2.7</v>
      </c>
      <c r="T26" s="34">
        <v>12.3</v>
      </c>
      <c r="U26" s="34">
        <f>($F$26-T26)*2605/32</f>
        <v>16.281249999999943</v>
      </c>
      <c r="V26" s="36" t="s">
        <v>8</v>
      </c>
      <c r="W26" s="37">
        <f>IF(U26&lt;0,0,U26)</f>
        <v>16.281249999999943</v>
      </c>
      <c r="X26" s="211" t="s">
        <v>10</v>
      </c>
      <c r="Y26" s="1225">
        <f>R.HN!F17</f>
        <v>2.9</v>
      </c>
      <c r="Z26" s="34">
        <f>(1*Y26*36.5)/(1*10)</f>
        <v>10.584999999999999</v>
      </c>
      <c r="AA26" s="34">
        <f>($F$26-Z26)*2605/32</f>
        <v>155.89296875000008</v>
      </c>
      <c r="AB26" s="36" t="s">
        <v>8</v>
      </c>
      <c r="AC26" s="37">
        <f>IF(AA26&lt;0,0,AA26)</f>
        <v>155.89296875000008</v>
      </c>
      <c r="AD26" s="211" t="s">
        <v>10</v>
      </c>
      <c r="AE26" s="1225">
        <f>R.HN!G17</f>
        <v>2.6</v>
      </c>
      <c r="AF26" s="34">
        <v>12</v>
      </c>
      <c r="AG26" s="34">
        <f>($F$26-AF26)*2605/32</f>
        <v>40.703125</v>
      </c>
      <c r="AH26" s="36" t="s">
        <v>8</v>
      </c>
      <c r="AI26" s="37">
        <f>IF(AG26&lt;0,0,AG26)</f>
        <v>40.703125</v>
      </c>
      <c r="AJ26" s="211" t="s">
        <v>10</v>
      </c>
      <c r="AK26" s="1225">
        <f>R.HN!H17</f>
        <v>2.4</v>
      </c>
      <c r="AL26" s="34">
        <v>11.5</v>
      </c>
      <c r="AM26" s="34">
        <f>($F$26-AL26)*2605/32</f>
        <v>81.40625</v>
      </c>
      <c r="AN26" s="36" t="s">
        <v>8</v>
      </c>
      <c r="AO26" s="37">
        <f>IF(AM26&lt;0,0,AM26)</f>
        <v>81.40625</v>
      </c>
      <c r="AP26" s="38" t="s">
        <v>10</v>
      </c>
      <c r="AQ26" s="264" t="s">
        <v>449</v>
      </c>
    </row>
    <row r="27" spans="1:43" ht="30" customHeight="1">
      <c r="A27" s="1201" t="s">
        <v>924</v>
      </c>
      <c r="B27" s="3553" t="s">
        <v>428</v>
      </c>
      <c r="C27" s="3554"/>
      <c r="D27" s="3559" t="s">
        <v>429</v>
      </c>
      <c r="E27" s="101" t="s">
        <v>1051</v>
      </c>
      <c r="F27" s="1234">
        <v>50</v>
      </c>
      <c r="G27" s="1225">
        <f>R.HN!C18</f>
        <v>4.25</v>
      </c>
      <c r="H27" s="34">
        <f>G27*10</f>
        <v>42.5</v>
      </c>
      <c r="I27" s="34">
        <f>($F$43-H27)*4935/1000</f>
        <v>37.012500000000003</v>
      </c>
      <c r="J27" s="36" t="s">
        <v>8</v>
      </c>
      <c r="K27" s="37">
        <f>IF(I27&lt;0,0,I27)</f>
        <v>37.012500000000003</v>
      </c>
      <c r="L27" s="211" t="s">
        <v>9</v>
      </c>
      <c r="M27" s="1225">
        <f>R.HN!D18</f>
        <v>5</v>
      </c>
      <c r="N27" s="34">
        <f>M27*10</f>
        <v>50</v>
      </c>
      <c r="O27" s="34">
        <f>($F$43-N27)*4935/1000</f>
        <v>0</v>
      </c>
      <c r="P27" s="36" t="s">
        <v>8</v>
      </c>
      <c r="Q27" s="37">
        <f>IF(O27&lt;0,0,O27)</f>
        <v>0</v>
      </c>
      <c r="R27" s="211" t="s">
        <v>9</v>
      </c>
      <c r="S27" s="1225">
        <f>R.HN!E18</f>
        <v>4.3</v>
      </c>
      <c r="T27" s="34">
        <f>S27*10</f>
        <v>43</v>
      </c>
      <c r="U27" s="34">
        <f>($F$43-T27)*4935/1000</f>
        <v>34.545000000000002</v>
      </c>
      <c r="V27" s="36" t="s">
        <v>8</v>
      </c>
      <c r="W27" s="37">
        <f>IF(U27&lt;0,0,U27)</f>
        <v>34.545000000000002</v>
      </c>
      <c r="X27" s="211" t="s">
        <v>9</v>
      </c>
      <c r="Y27" s="1225">
        <f>R.HN!F18</f>
        <v>4.8</v>
      </c>
      <c r="Z27" s="34">
        <f>Y27*10</f>
        <v>48</v>
      </c>
      <c r="AA27" s="34">
        <f>($F$43-Z27)*4935/1000</f>
        <v>9.8699999999999992</v>
      </c>
      <c r="AB27" s="36" t="s">
        <v>8</v>
      </c>
      <c r="AC27" s="37">
        <f>IF(AA27&lt;0,0,AA27)</f>
        <v>9.8699999999999992</v>
      </c>
      <c r="AD27" s="211" t="s">
        <v>9</v>
      </c>
      <c r="AE27" s="1225">
        <f>R.HN!G18</f>
        <v>4.7</v>
      </c>
      <c r="AF27" s="34">
        <f>AE27*10</f>
        <v>47</v>
      </c>
      <c r="AG27" s="34">
        <f>($F$43-AF27)*4935/1000</f>
        <v>14.805</v>
      </c>
      <c r="AH27" s="36" t="s">
        <v>8</v>
      </c>
      <c r="AI27" s="37">
        <f>IF(AG27&lt;0,0,AG27)</f>
        <v>14.805</v>
      </c>
      <c r="AJ27" s="211" t="s">
        <v>9</v>
      </c>
      <c r="AK27" s="1225">
        <f>R.HN!H18</f>
        <v>4.4000000000000004</v>
      </c>
      <c r="AL27" s="34">
        <v>50</v>
      </c>
      <c r="AM27" s="34">
        <f>($F$43-AL27)*4935/1000</f>
        <v>0</v>
      </c>
      <c r="AN27" s="36" t="s">
        <v>8</v>
      </c>
      <c r="AO27" s="37">
        <f>IF(AM27&lt;0,0,AM27)</f>
        <v>0</v>
      </c>
      <c r="AP27" s="38" t="s">
        <v>9</v>
      </c>
      <c r="AQ27" s="264" t="s">
        <v>449</v>
      </c>
    </row>
    <row r="28" spans="1:43" ht="30" customHeight="1">
      <c r="A28" s="1201" t="s">
        <v>1163</v>
      </c>
      <c r="B28" s="3555"/>
      <c r="C28" s="3556"/>
      <c r="D28" s="3559"/>
      <c r="E28" s="101" t="s">
        <v>1052</v>
      </c>
      <c r="F28" s="1225">
        <v>6.5</v>
      </c>
      <c r="G28" s="1225">
        <f>R.HN!C19</f>
        <v>5.7</v>
      </c>
      <c r="H28" s="34">
        <f>IFERROR(H27/G28,0)</f>
        <v>7.4561403508771926</v>
      </c>
      <c r="I28" s="34">
        <f>($F$44-H28)*4935/1000</f>
        <v>-4.7185526315789454</v>
      </c>
      <c r="J28" s="36"/>
      <c r="K28" s="37">
        <f>IF(I28&lt;0,0,I28)</f>
        <v>0</v>
      </c>
      <c r="L28" s="211" t="s">
        <v>9</v>
      </c>
      <c r="M28" s="1225">
        <f>R.HN!D19</f>
        <v>6</v>
      </c>
      <c r="N28" s="34">
        <v>7</v>
      </c>
      <c r="O28" s="34">
        <f>($F$44-N28)*4935/1000</f>
        <v>-2.4674999999999998</v>
      </c>
      <c r="P28" s="36"/>
      <c r="Q28" s="37">
        <f>IF(O28&lt;0,0,O28)</f>
        <v>0</v>
      </c>
      <c r="R28" s="211" t="s">
        <v>9</v>
      </c>
      <c r="S28" s="1225">
        <f>R.HN!E19</f>
        <v>4.8</v>
      </c>
      <c r="T28" s="34">
        <v>7.2</v>
      </c>
      <c r="U28" s="34">
        <f>($F$44-T28)*4935/1000</f>
        <v>-3.4545000000000008</v>
      </c>
      <c r="V28" s="36"/>
      <c r="W28" s="37">
        <f>IF(U28&lt;0,0,U28)</f>
        <v>0</v>
      </c>
      <c r="X28" s="211" t="s">
        <v>9</v>
      </c>
      <c r="Y28" s="1225">
        <f>R.HN!F19</f>
        <v>4.7</v>
      </c>
      <c r="Z28" s="34">
        <v>7.5</v>
      </c>
      <c r="AA28" s="34">
        <f>($F$44-Z28)*4935/1000</f>
        <v>-4.9349999999999996</v>
      </c>
      <c r="AB28" s="36"/>
      <c r="AC28" s="37">
        <f>IF(AA28&lt;0,0,AA28)</f>
        <v>0</v>
      </c>
      <c r="AD28" s="211" t="s">
        <v>9</v>
      </c>
      <c r="AE28" s="1225">
        <f>R.HN!G19</f>
        <v>3.5</v>
      </c>
      <c r="AF28" s="34">
        <v>7.1</v>
      </c>
      <c r="AG28" s="34">
        <f>($F$44-AF28)*4935/1000</f>
        <v>-2.9609999999999981</v>
      </c>
      <c r="AH28" s="36"/>
      <c r="AI28" s="37">
        <f>IF(AG28&lt;0,0,AG28)</f>
        <v>0</v>
      </c>
      <c r="AJ28" s="211" t="s">
        <v>9</v>
      </c>
      <c r="AK28" s="1225">
        <f>R.HN!H19</f>
        <v>4</v>
      </c>
      <c r="AL28" s="34">
        <v>6.8</v>
      </c>
      <c r="AM28" s="34">
        <f>($F$44-AL28)*4935/1000</f>
        <v>-1.480499999999999</v>
      </c>
      <c r="AN28" s="36"/>
      <c r="AO28" s="37">
        <f>IF(AM28&lt;0,0,AM28)</f>
        <v>0</v>
      </c>
      <c r="AP28" s="38" t="s">
        <v>9</v>
      </c>
      <c r="AQ28" s="264" t="s">
        <v>449</v>
      </c>
    </row>
    <row r="29" spans="1:43" ht="30" customHeight="1">
      <c r="A29" s="1201" t="s">
        <v>1164</v>
      </c>
      <c r="B29" s="3557"/>
      <c r="C29" s="3558"/>
      <c r="D29" s="3559"/>
      <c r="E29" s="101" t="s">
        <v>1053</v>
      </c>
      <c r="F29" s="1235">
        <v>0.4</v>
      </c>
      <c r="G29" s="1225">
        <f>R.HN!C20</f>
        <v>0.11</v>
      </c>
      <c r="H29" s="1228">
        <f>G29</f>
        <v>0.11</v>
      </c>
      <c r="I29" s="34"/>
      <c r="J29" s="36"/>
      <c r="K29" s="39"/>
      <c r="L29" s="211" t="s">
        <v>9</v>
      </c>
      <c r="M29" s="1225">
        <f>R.HN!D20</f>
        <v>0.12</v>
      </c>
      <c r="N29" s="1228">
        <f>M29</f>
        <v>0.12</v>
      </c>
      <c r="O29" s="34"/>
      <c r="P29" s="36"/>
      <c r="Q29" s="39"/>
      <c r="R29" s="211" t="s">
        <v>9</v>
      </c>
      <c r="S29" s="1225">
        <f>R.HN!E20</f>
        <v>0.14000000000000001</v>
      </c>
      <c r="T29" s="1228">
        <f>S29</f>
        <v>0.14000000000000001</v>
      </c>
      <c r="U29" s="34"/>
      <c r="V29" s="36"/>
      <c r="W29" s="39"/>
      <c r="X29" s="211" t="s">
        <v>9</v>
      </c>
      <c r="Y29" s="1225">
        <f>R.HN!F20</f>
        <v>0.14000000000000001</v>
      </c>
      <c r="Z29" s="1228">
        <f>Y29</f>
        <v>0.14000000000000001</v>
      </c>
      <c r="AA29" s="34"/>
      <c r="AB29" s="36"/>
      <c r="AC29" s="39"/>
      <c r="AD29" s="211" t="s">
        <v>9</v>
      </c>
      <c r="AE29" s="1225">
        <f>R.HN!G20</f>
        <v>0.2</v>
      </c>
      <c r="AF29" s="1228">
        <f>AE29</f>
        <v>0.2</v>
      </c>
      <c r="AG29" s="34"/>
      <c r="AH29" s="36"/>
      <c r="AI29" s="39"/>
      <c r="AJ29" s="211" t="s">
        <v>9</v>
      </c>
      <c r="AK29" s="1225">
        <f>R.HN!H20</f>
        <v>0.18</v>
      </c>
      <c r="AL29" s="1228">
        <v>0.25</v>
      </c>
      <c r="AM29" s="34"/>
      <c r="AN29" s="36"/>
      <c r="AO29" s="39" t="s">
        <v>432</v>
      </c>
      <c r="AP29" s="38" t="s">
        <v>9</v>
      </c>
      <c r="AQ29" s="264" t="s">
        <v>449</v>
      </c>
    </row>
    <row r="30" spans="1:43" ht="30" customHeight="1">
      <c r="A30" s="1201" t="s">
        <v>1165</v>
      </c>
      <c r="B30" s="3553" t="s">
        <v>438</v>
      </c>
      <c r="C30" s="3554"/>
      <c r="D30" s="44" t="s">
        <v>429</v>
      </c>
      <c r="E30" s="101" t="s">
        <v>439</v>
      </c>
      <c r="F30" s="1227">
        <v>1</v>
      </c>
      <c r="G30" s="1225">
        <f>R.HN!C21</f>
        <v>1</v>
      </c>
      <c r="H30" s="34">
        <f>G30</f>
        <v>1</v>
      </c>
      <c r="I30" s="34">
        <f>($F$30-H30)*1234/1000</f>
        <v>0</v>
      </c>
      <c r="J30" s="36" t="s">
        <v>8</v>
      </c>
      <c r="K30" s="39">
        <f>IF(I30&lt;0,0,I30)</f>
        <v>0</v>
      </c>
      <c r="L30" s="211" t="s">
        <v>9</v>
      </c>
      <c r="M30" s="1225">
        <f>R.HN!D21</f>
        <v>0.9</v>
      </c>
      <c r="N30" s="34">
        <f>M30</f>
        <v>0.9</v>
      </c>
      <c r="O30" s="34">
        <f>($F$30-N30)*1234/1000</f>
        <v>0.12339999999999998</v>
      </c>
      <c r="P30" s="36" t="s">
        <v>8</v>
      </c>
      <c r="Q30" s="39">
        <f>IF(O30&lt;0,0,O30)</f>
        <v>0.12339999999999998</v>
      </c>
      <c r="R30" s="211" t="s">
        <v>9</v>
      </c>
      <c r="S30" s="1225">
        <f>R.HN!E21</f>
        <v>0.95</v>
      </c>
      <c r="T30" s="34">
        <f>S30</f>
        <v>0.95</v>
      </c>
      <c r="U30" s="34">
        <f>($F$30-T30)*1234/1000</f>
        <v>6.1700000000000053E-2</v>
      </c>
      <c r="V30" s="36" t="s">
        <v>8</v>
      </c>
      <c r="W30" s="39">
        <f>IF(U30&lt;0,0,U30)</f>
        <v>6.1700000000000053E-2</v>
      </c>
      <c r="X30" s="211" t="s">
        <v>9</v>
      </c>
      <c r="Y30" s="1225">
        <f>R.HN!F21</f>
        <v>0.95</v>
      </c>
      <c r="Z30" s="34">
        <f>Y30</f>
        <v>0.95</v>
      </c>
      <c r="AA30" s="34">
        <f>($F$30-Z30)*1234/1000</f>
        <v>6.1700000000000053E-2</v>
      </c>
      <c r="AB30" s="36" t="s">
        <v>8</v>
      </c>
      <c r="AC30" s="39">
        <f>IF(AA30&lt;0,0,AA30)</f>
        <v>6.1700000000000053E-2</v>
      </c>
      <c r="AD30" s="211" t="s">
        <v>9</v>
      </c>
      <c r="AE30" s="1225">
        <f>R.HN!G21</f>
        <v>0.95</v>
      </c>
      <c r="AF30" s="34">
        <f>AE30</f>
        <v>0.95</v>
      </c>
      <c r="AG30" s="34">
        <f>($F$30-AF30)*1234/1000</f>
        <v>6.1700000000000053E-2</v>
      </c>
      <c r="AH30" s="36" t="s">
        <v>8</v>
      </c>
      <c r="AI30" s="39">
        <f>IF(AG30&lt;0,0,AG30)</f>
        <v>6.1700000000000053E-2</v>
      </c>
      <c r="AJ30" s="211" t="s">
        <v>9</v>
      </c>
      <c r="AK30" s="1225">
        <f>R.HN!H21</f>
        <v>0.95</v>
      </c>
      <c r="AL30" s="34">
        <v>0.95</v>
      </c>
      <c r="AM30" s="34">
        <f>($F$30-AL30)*1234/1000</f>
        <v>6.1700000000000053E-2</v>
      </c>
      <c r="AN30" s="36" t="s">
        <v>8</v>
      </c>
      <c r="AO30" s="39">
        <f>IF(AM30&lt;0,0,AM30)</f>
        <v>6.1700000000000053E-2</v>
      </c>
      <c r="AP30" s="38" t="s">
        <v>9</v>
      </c>
      <c r="AQ30" s="264" t="s">
        <v>449</v>
      </c>
    </row>
    <row r="31" spans="1:43" ht="30" customHeight="1">
      <c r="A31" s="1201" t="s">
        <v>1166</v>
      </c>
      <c r="B31" s="3565"/>
      <c r="C31" s="3566"/>
      <c r="D31" s="44" t="s">
        <v>5</v>
      </c>
      <c r="E31" s="101" t="s">
        <v>1167</v>
      </c>
      <c r="F31" s="1229">
        <v>9.5</v>
      </c>
      <c r="G31" s="1225">
        <f>R.HN!C22</f>
        <v>10</v>
      </c>
      <c r="H31" s="34">
        <f>G31</f>
        <v>10</v>
      </c>
      <c r="I31" s="34"/>
      <c r="J31" s="36"/>
      <c r="K31" s="37"/>
      <c r="L31" s="211"/>
      <c r="M31" s="1225">
        <f>R.HN!D22</f>
        <v>10</v>
      </c>
      <c r="N31" s="34">
        <f>M31</f>
        <v>10</v>
      </c>
      <c r="O31" s="34"/>
      <c r="P31" s="36"/>
      <c r="Q31" s="37"/>
      <c r="R31" s="211"/>
      <c r="S31" s="1225">
        <f>R.HN!E22</f>
        <v>9.5</v>
      </c>
      <c r="T31" s="34">
        <f>S31</f>
        <v>9.5</v>
      </c>
      <c r="U31" s="34"/>
      <c r="V31" s="36"/>
      <c r="W31" s="37"/>
      <c r="X31" s="211"/>
      <c r="Y31" s="1225">
        <f>R.HN!F22</f>
        <v>10</v>
      </c>
      <c r="Z31" s="34">
        <f>Y31</f>
        <v>10</v>
      </c>
      <c r="AA31" s="34"/>
      <c r="AB31" s="36"/>
      <c r="AC31" s="37"/>
      <c r="AD31" s="211"/>
      <c r="AE31" s="1225">
        <f>R.HN!G22</f>
        <v>10</v>
      </c>
      <c r="AF31" s="34">
        <f>AE31</f>
        <v>10</v>
      </c>
      <c r="AG31" s="34"/>
      <c r="AH31" s="36"/>
      <c r="AI31" s="37"/>
      <c r="AJ31" s="211"/>
      <c r="AK31" s="1225">
        <f>R.HN!H22</f>
        <v>10</v>
      </c>
      <c r="AL31" s="34">
        <v>10</v>
      </c>
      <c r="AM31" s="34"/>
      <c r="AN31" s="36"/>
      <c r="AO31" s="37"/>
      <c r="AP31" s="38"/>
      <c r="AQ31" s="264" t="s">
        <v>449</v>
      </c>
    </row>
    <row r="32" spans="1:43" ht="44.25" customHeight="1">
      <c r="A32" s="284" t="s">
        <v>72</v>
      </c>
      <c r="B32" s="285"/>
      <c r="C32" s="285"/>
      <c r="D32" s="285"/>
      <c r="E32" s="282"/>
      <c r="F32" s="285"/>
      <c r="G32" s="285"/>
      <c r="H32" s="285"/>
      <c r="I32" s="285"/>
      <c r="J32" s="285"/>
      <c r="K32" s="285"/>
      <c r="L32" s="285"/>
      <c r="M32" s="285"/>
      <c r="N32" s="286"/>
      <c r="O32" s="285"/>
      <c r="P32" s="285"/>
      <c r="Q32" s="285"/>
      <c r="R32" s="286"/>
      <c r="S32" s="285"/>
      <c r="T32" s="286"/>
      <c r="U32" s="285"/>
      <c r="V32" s="285"/>
      <c r="W32" s="285"/>
      <c r="X32" s="285"/>
      <c r="Y32" s="285"/>
      <c r="Z32" s="285"/>
      <c r="AA32" s="285"/>
      <c r="AB32" s="285"/>
      <c r="AC32" s="285"/>
      <c r="AD32" s="285"/>
      <c r="AE32" s="286"/>
      <c r="AF32" s="286"/>
      <c r="AG32" s="286"/>
      <c r="AH32" s="286"/>
      <c r="AI32" s="286"/>
      <c r="AJ32" s="286"/>
      <c r="AK32" s="286"/>
      <c r="AL32" s="286"/>
      <c r="AM32" s="286"/>
      <c r="AN32" s="286"/>
      <c r="AO32" s="286"/>
      <c r="AP32" s="1001"/>
      <c r="AQ32" s="264" t="s">
        <v>449</v>
      </c>
    </row>
    <row r="33" spans="1:43" ht="33.75" customHeight="1">
      <c r="A33" s="1036" t="s">
        <v>236</v>
      </c>
      <c r="B33" s="3370" t="s">
        <v>60</v>
      </c>
      <c r="C33" s="3372"/>
      <c r="D33" s="277" t="s">
        <v>62</v>
      </c>
      <c r="E33" s="277" t="s">
        <v>63</v>
      </c>
      <c r="F33" s="1230"/>
      <c r="G33" s="1230"/>
      <c r="H33" s="279" t="s">
        <v>45</v>
      </c>
      <c r="I33" s="280"/>
      <c r="J33" s="280"/>
      <c r="K33" s="279" t="s">
        <v>61</v>
      </c>
      <c r="L33" s="293"/>
      <c r="M33" s="277"/>
      <c r="N33" s="279" t="s">
        <v>45</v>
      </c>
      <c r="O33" s="280"/>
      <c r="P33" s="280"/>
      <c r="Q33" s="279" t="s">
        <v>61</v>
      </c>
      <c r="R33" s="293"/>
      <c r="S33" s="90"/>
      <c r="T33" s="279" t="s">
        <v>45</v>
      </c>
      <c r="U33" s="280"/>
      <c r="V33" s="280"/>
      <c r="W33" s="279" t="s">
        <v>61</v>
      </c>
      <c r="X33" s="293"/>
      <c r="Y33" s="91"/>
      <c r="Z33" s="279" t="s">
        <v>45</v>
      </c>
      <c r="AA33" s="280"/>
      <c r="AB33" s="280"/>
      <c r="AC33" s="279" t="s">
        <v>61</v>
      </c>
      <c r="AD33" s="293"/>
      <c r="AE33" s="91"/>
      <c r="AF33" s="279" t="s">
        <v>45</v>
      </c>
      <c r="AG33" s="280"/>
      <c r="AH33" s="280"/>
      <c r="AI33" s="279" t="s">
        <v>61</v>
      </c>
      <c r="AJ33" s="293"/>
      <c r="AK33" s="91"/>
      <c r="AL33" s="279" t="s">
        <v>45</v>
      </c>
      <c r="AM33" s="280"/>
      <c r="AN33" s="280"/>
      <c r="AO33" s="279" t="s">
        <v>61</v>
      </c>
      <c r="AP33" s="293"/>
      <c r="AQ33" s="264" t="s">
        <v>449</v>
      </c>
    </row>
    <row r="34" spans="1:43" ht="30" customHeight="1">
      <c r="A34" s="1201" t="s">
        <v>1168</v>
      </c>
      <c r="B34" s="3370" t="s">
        <v>452</v>
      </c>
      <c r="C34" s="3372"/>
      <c r="D34" s="21" t="s">
        <v>104</v>
      </c>
      <c r="E34" s="101" t="s">
        <v>1169</v>
      </c>
      <c r="F34" s="95"/>
      <c r="G34" s="95"/>
      <c r="H34" s="3098"/>
      <c r="I34" s="3099"/>
      <c r="J34" s="3099"/>
      <c r="K34" s="3098">
        <v>62</v>
      </c>
      <c r="L34" s="3099"/>
      <c r="M34" s="91"/>
      <c r="N34" s="3098"/>
      <c r="O34" s="3099"/>
      <c r="P34" s="3099"/>
      <c r="Q34" s="3098">
        <v>60</v>
      </c>
      <c r="R34" s="3099"/>
      <c r="S34" s="91"/>
      <c r="T34" s="3098"/>
      <c r="U34" s="3099"/>
      <c r="V34" s="3099"/>
      <c r="W34" s="3098">
        <v>59</v>
      </c>
      <c r="X34" s="3099"/>
      <c r="Y34" s="91"/>
      <c r="Z34" s="3098"/>
      <c r="AA34" s="3099"/>
      <c r="AB34" s="3099"/>
      <c r="AC34" s="3098">
        <v>60</v>
      </c>
      <c r="AD34" s="3099"/>
      <c r="AE34" s="91"/>
      <c r="AF34" s="3098"/>
      <c r="AG34" s="3099"/>
      <c r="AH34" s="3099"/>
      <c r="AI34" s="3098">
        <v>59</v>
      </c>
      <c r="AJ34" s="3099"/>
      <c r="AK34" s="91"/>
      <c r="AL34" s="3098"/>
      <c r="AM34" s="3099"/>
      <c r="AN34" s="3099"/>
      <c r="AO34" s="3184">
        <v>59</v>
      </c>
      <c r="AP34" s="3184"/>
      <c r="AQ34" s="264" t="s">
        <v>449</v>
      </c>
    </row>
    <row r="35" spans="1:43" ht="30" customHeight="1">
      <c r="A35" s="1201" t="s">
        <v>1170</v>
      </c>
      <c r="B35" s="3370" t="s">
        <v>454</v>
      </c>
      <c r="C35" s="3372"/>
      <c r="D35" s="21" t="s">
        <v>104</v>
      </c>
      <c r="E35" s="101" t="s">
        <v>1160</v>
      </c>
      <c r="F35" s="95"/>
      <c r="G35" s="95"/>
      <c r="H35" s="3098"/>
      <c r="I35" s="3099"/>
      <c r="J35" s="3099"/>
      <c r="K35" s="3098">
        <v>66</v>
      </c>
      <c r="L35" s="3099"/>
      <c r="M35" s="91"/>
      <c r="N35" s="3098"/>
      <c r="O35" s="3099"/>
      <c r="P35" s="3099"/>
      <c r="Q35" s="3098">
        <v>66</v>
      </c>
      <c r="R35" s="3099"/>
      <c r="S35" s="91"/>
      <c r="T35" s="3098"/>
      <c r="U35" s="3099"/>
      <c r="V35" s="3099"/>
      <c r="W35" s="3098">
        <v>66</v>
      </c>
      <c r="X35" s="3099"/>
      <c r="Y35" s="91"/>
      <c r="Z35" s="3098"/>
      <c r="AA35" s="3099"/>
      <c r="AB35" s="3099"/>
      <c r="AC35" s="3098">
        <v>66</v>
      </c>
      <c r="AD35" s="3099"/>
      <c r="AE35" s="91"/>
      <c r="AF35" s="3098"/>
      <c r="AG35" s="3099"/>
      <c r="AH35" s="3099"/>
      <c r="AI35" s="3098">
        <v>67</v>
      </c>
      <c r="AJ35" s="3099"/>
      <c r="AK35" s="91"/>
      <c r="AL35" s="3098"/>
      <c r="AM35" s="3099"/>
      <c r="AN35" s="3099"/>
      <c r="AO35" s="3184">
        <v>60</v>
      </c>
      <c r="AP35" s="3184"/>
      <c r="AQ35" s="264" t="s">
        <v>449</v>
      </c>
    </row>
    <row r="36" spans="1:43" ht="30" customHeight="1">
      <c r="A36" s="1201" t="s">
        <v>1171</v>
      </c>
      <c r="B36" s="3370" t="s">
        <v>438</v>
      </c>
      <c r="C36" s="3372"/>
      <c r="D36" s="21" t="s">
        <v>104</v>
      </c>
      <c r="E36" s="101" t="s">
        <v>1161</v>
      </c>
      <c r="F36" s="1236"/>
      <c r="G36" s="1236"/>
      <c r="H36" s="3098"/>
      <c r="I36" s="3099"/>
      <c r="J36" s="3099"/>
      <c r="K36" s="3098">
        <v>84</v>
      </c>
      <c r="L36" s="3099"/>
      <c r="M36" s="91"/>
      <c r="N36" s="3098"/>
      <c r="O36" s="3099"/>
      <c r="P36" s="3099"/>
      <c r="Q36" s="3098">
        <v>83</v>
      </c>
      <c r="R36" s="3099"/>
      <c r="S36" s="91"/>
      <c r="T36" s="3098"/>
      <c r="U36" s="3099"/>
      <c r="V36" s="3099"/>
      <c r="W36" s="3098">
        <v>82</v>
      </c>
      <c r="X36" s="3099"/>
      <c r="Y36" s="91"/>
      <c r="Z36" s="3098"/>
      <c r="AA36" s="3099"/>
      <c r="AB36" s="3099"/>
      <c r="AC36" s="3098">
        <v>81</v>
      </c>
      <c r="AD36" s="3099"/>
      <c r="AE36" s="91"/>
      <c r="AF36" s="3098"/>
      <c r="AG36" s="3099"/>
      <c r="AH36" s="3099"/>
      <c r="AI36" s="3098">
        <v>84</v>
      </c>
      <c r="AJ36" s="3099"/>
      <c r="AK36" s="91"/>
      <c r="AL36" s="3098"/>
      <c r="AM36" s="3099"/>
      <c r="AN36" s="3099"/>
      <c r="AO36" s="3184">
        <v>84</v>
      </c>
      <c r="AP36" s="3184"/>
      <c r="AQ36" s="264" t="s">
        <v>449</v>
      </c>
    </row>
    <row r="37" spans="1:43" ht="25.5" customHeight="1">
      <c r="A37" s="1237"/>
      <c r="B37" s="1237"/>
      <c r="C37" s="1237"/>
      <c r="D37" s="1237"/>
      <c r="E37" s="1237"/>
      <c r="F37" s="1237"/>
      <c r="G37" s="1237"/>
      <c r="H37" s="1237"/>
      <c r="I37" s="1237"/>
      <c r="J37" s="1237"/>
      <c r="K37" s="1237"/>
      <c r="L37" s="1237"/>
      <c r="M37" s="1237"/>
      <c r="N37" s="1237"/>
      <c r="O37" s="1237"/>
      <c r="P37" s="1237"/>
      <c r="Q37" s="1237"/>
      <c r="R37" s="1237"/>
      <c r="S37" s="1237"/>
      <c r="T37" s="1237"/>
      <c r="U37" s="1237"/>
      <c r="V37" s="1237"/>
      <c r="W37" s="1237"/>
      <c r="X37" s="1237"/>
      <c r="Y37" s="1237"/>
      <c r="Z37" s="1237"/>
      <c r="AA37" s="1237"/>
      <c r="AB37" s="1237"/>
      <c r="AC37" s="1237"/>
      <c r="AD37" s="1237"/>
      <c r="AP37" s="264"/>
    </row>
    <row r="38" spans="1:43" ht="41.25" customHeight="1">
      <c r="A38" s="1954" t="s">
        <v>1172</v>
      </c>
      <c r="B38" s="1955"/>
      <c r="C38" s="1956"/>
      <c r="D38" s="1956"/>
      <c r="E38" s="1957"/>
      <c r="F38" s="1958" t="s">
        <v>71</v>
      </c>
      <c r="G38" s="1902"/>
      <c r="H38" s="1959" t="s">
        <v>71</v>
      </c>
      <c r="I38" s="1959"/>
      <c r="J38" s="1959"/>
      <c r="K38" s="1959"/>
      <c r="L38" s="1959"/>
      <c r="M38" s="1959"/>
      <c r="N38" s="1959"/>
      <c r="O38" s="1959"/>
      <c r="P38" s="1959"/>
      <c r="Q38" s="1959"/>
      <c r="R38" s="1959"/>
      <c r="S38" s="1959"/>
      <c r="T38" s="1959"/>
      <c r="U38" s="1959"/>
      <c r="V38" s="1959"/>
      <c r="W38" s="1959"/>
      <c r="X38" s="1959"/>
      <c r="Y38" s="1959"/>
      <c r="Z38" s="1959"/>
      <c r="AA38" s="1959"/>
      <c r="AB38" s="1959"/>
      <c r="AC38" s="1959"/>
      <c r="AD38" s="1959"/>
      <c r="AE38" s="1959"/>
      <c r="AF38" s="1959"/>
      <c r="AG38" s="1959"/>
      <c r="AH38" s="1959"/>
      <c r="AI38" s="1959"/>
      <c r="AJ38" s="1959"/>
      <c r="AK38" s="1959"/>
      <c r="AL38" s="1959"/>
      <c r="AM38" s="1959"/>
      <c r="AN38" s="1959"/>
      <c r="AO38" s="1959"/>
      <c r="AP38" s="1959"/>
    </row>
    <row r="39" spans="1:43" ht="31.5" customHeight="1">
      <c r="A39" s="417"/>
      <c r="B39" s="3568" t="s">
        <v>75</v>
      </c>
      <c r="C39" s="3569"/>
      <c r="D39" s="3572" t="s">
        <v>123</v>
      </c>
      <c r="E39" s="3574" t="s">
        <v>63</v>
      </c>
      <c r="F39" s="1233"/>
      <c r="G39" s="83"/>
      <c r="H39" s="3567" t="s">
        <v>469</v>
      </c>
      <c r="I39" s="3567"/>
      <c r="J39" s="3567"/>
      <c r="K39" s="3567"/>
      <c r="L39" s="3567"/>
      <c r="M39" s="1222"/>
      <c r="N39" s="3560" t="s">
        <v>1449</v>
      </c>
      <c r="O39" s="3560"/>
      <c r="P39" s="3560"/>
      <c r="Q39" s="3560"/>
      <c r="R39" s="3560"/>
      <c r="S39" s="1222"/>
      <c r="T39" s="3567" t="s">
        <v>1450</v>
      </c>
      <c r="U39" s="3567"/>
      <c r="V39" s="3567"/>
      <c r="W39" s="3567"/>
      <c r="X39" s="3567"/>
      <c r="Y39" s="1222"/>
      <c r="Z39" s="3567" t="s">
        <v>1451</v>
      </c>
      <c r="AA39" s="3567"/>
      <c r="AB39" s="3567"/>
      <c r="AC39" s="3567"/>
      <c r="AD39" s="3567"/>
      <c r="AE39" s="1222"/>
      <c r="AF39" s="3567" t="s">
        <v>1452</v>
      </c>
      <c r="AG39" s="3567"/>
      <c r="AH39" s="3567"/>
      <c r="AI39" s="3567"/>
      <c r="AJ39" s="3567"/>
      <c r="AK39" s="1222"/>
      <c r="AL39" s="3567" t="s">
        <v>1453</v>
      </c>
      <c r="AM39" s="3567"/>
      <c r="AN39" s="3567"/>
      <c r="AO39" s="3567"/>
      <c r="AP39" s="3567"/>
    </row>
    <row r="40" spans="1:43" ht="31.5" customHeight="1">
      <c r="A40" s="1200" t="s">
        <v>236</v>
      </c>
      <c r="B40" s="3570"/>
      <c r="C40" s="3571"/>
      <c r="D40" s="3573"/>
      <c r="E40" s="3575"/>
      <c r="F40" s="1223" t="s">
        <v>420</v>
      </c>
      <c r="G40" s="20"/>
      <c r="H40" s="1199" t="s">
        <v>128</v>
      </c>
      <c r="I40" s="33" t="s">
        <v>1</v>
      </c>
      <c r="J40" s="282" t="s">
        <v>1</v>
      </c>
      <c r="K40" s="282"/>
      <c r="L40" s="283"/>
      <c r="M40" s="84"/>
      <c r="N40" s="1199" t="s">
        <v>128</v>
      </c>
      <c r="O40" s="33" t="s">
        <v>1</v>
      </c>
      <c r="P40" s="282" t="s">
        <v>1</v>
      </c>
      <c r="Q40" s="282"/>
      <c r="R40" s="283"/>
      <c r="S40" s="20"/>
      <c r="T40" s="1199" t="s">
        <v>128</v>
      </c>
      <c r="U40" s="33" t="s">
        <v>1</v>
      </c>
      <c r="V40" s="282" t="s">
        <v>1</v>
      </c>
      <c r="W40" s="282"/>
      <c r="X40" s="283"/>
      <c r="Y40" s="84"/>
      <c r="Z40" s="1199" t="s">
        <v>128</v>
      </c>
      <c r="AA40" s="33" t="s">
        <v>1</v>
      </c>
      <c r="AB40" s="282" t="s">
        <v>1</v>
      </c>
      <c r="AC40" s="282"/>
      <c r="AD40" s="283"/>
      <c r="AE40" s="84"/>
      <c r="AF40" s="1199" t="s">
        <v>128</v>
      </c>
      <c r="AG40" s="33" t="s">
        <v>1</v>
      </c>
      <c r="AH40" s="282" t="s">
        <v>1</v>
      </c>
      <c r="AI40" s="282"/>
      <c r="AJ40" s="283"/>
      <c r="AK40" s="84"/>
      <c r="AL40" s="1199" t="s">
        <v>128</v>
      </c>
      <c r="AM40" s="33" t="s">
        <v>1</v>
      </c>
      <c r="AN40" s="282" t="s">
        <v>1</v>
      </c>
      <c r="AO40" s="282"/>
      <c r="AP40" s="283"/>
    </row>
    <row r="41" spans="1:43" ht="31.5" customHeight="1">
      <c r="A41" s="1201" t="s">
        <v>1173</v>
      </c>
      <c r="B41" s="3410" t="s">
        <v>447</v>
      </c>
      <c r="C41" s="3412"/>
      <c r="D41" s="274" t="s">
        <v>429</v>
      </c>
      <c r="E41" s="101" t="s">
        <v>448</v>
      </c>
      <c r="F41" s="1226">
        <v>40</v>
      </c>
      <c r="G41" s="1225">
        <f>R.HN!C25</f>
        <v>0</v>
      </c>
      <c r="H41" s="34">
        <f>G41*10</f>
        <v>0</v>
      </c>
      <c r="I41" s="34">
        <f>($F$25-H41)*2330/1000</f>
        <v>93.2</v>
      </c>
      <c r="J41" s="36" t="s">
        <v>8</v>
      </c>
      <c r="K41" s="39">
        <f>IF(I41&lt;0,0,I41)</f>
        <v>93.2</v>
      </c>
      <c r="L41" s="211" t="s">
        <v>9</v>
      </c>
      <c r="M41" s="1225">
        <f>R.HN!D25</f>
        <v>0</v>
      </c>
      <c r="N41" s="34">
        <f>M41*10</f>
        <v>0</v>
      </c>
      <c r="O41" s="34">
        <f>($F$25-N41)*2330/1000</f>
        <v>93.2</v>
      </c>
      <c r="P41" s="36" t="s">
        <v>8</v>
      </c>
      <c r="Q41" s="39">
        <f>IF(O41&lt;0,0,O41)</f>
        <v>93.2</v>
      </c>
      <c r="R41" s="211" t="s">
        <v>9</v>
      </c>
      <c r="S41" s="1225">
        <f>R.HN!E25</f>
        <v>0</v>
      </c>
      <c r="T41" s="34">
        <f>S41*10</f>
        <v>0</v>
      </c>
      <c r="U41" s="34">
        <f>($F$25-T41)*2330/1000</f>
        <v>93.2</v>
      </c>
      <c r="V41" s="36" t="s">
        <v>8</v>
      </c>
      <c r="W41" s="39">
        <f>IF(U41&lt;0,0,U41)</f>
        <v>93.2</v>
      </c>
      <c r="X41" s="211" t="s">
        <v>9</v>
      </c>
      <c r="Y41" s="1225">
        <f>R.HN!F25</f>
        <v>0</v>
      </c>
      <c r="Z41" s="34">
        <f>Y41*10</f>
        <v>0</v>
      </c>
      <c r="AA41" s="34">
        <f>($F$25-Z41)*2330/1000</f>
        <v>93.2</v>
      </c>
      <c r="AB41" s="36" t="s">
        <v>8</v>
      </c>
      <c r="AC41" s="39">
        <f>IF(AA41&lt;0,0,AA41)</f>
        <v>93.2</v>
      </c>
      <c r="AD41" s="211" t="s">
        <v>9</v>
      </c>
      <c r="AE41" s="1225">
        <f>R.HN!G25</f>
        <v>0</v>
      </c>
      <c r="AF41" s="34">
        <f>AE41*10</f>
        <v>0</v>
      </c>
      <c r="AG41" s="34">
        <f>($F$25-AF41)*2330/1000</f>
        <v>93.2</v>
      </c>
      <c r="AH41" s="36" t="s">
        <v>8</v>
      </c>
      <c r="AI41" s="39">
        <f>IF(AG41&lt;0,0,AG41)</f>
        <v>93.2</v>
      </c>
      <c r="AJ41" s="211" t="s">
        <v>9</v>
      </c>
      <c r="AK41" s="1225">
        <f>R.HN!H25</f>
        <v>0</v>
      </c>
      <c r="AL41" s="34">
        <f>AK41*10</f>
        <v>0</v>
      </c>
      <c r="AM41" s="34">
        <f>($F$25-AL41)*2330/1000</f>
        <v>93.2</v>
      </c>
      <c r="AN41" s="36" t="s">
        <v>8</v>
      </c>
      <c r="AO41" s="39">
        <f>IF(AM41&lt;0,0,AM41)</f>
        <v>93.2</v>
      </c>
      <c r="AP41" s="38" t="s">
        <v>9</v>
      </c>
      <c r="AQ41" s="264" t="s">
        <v>456</v>
      </c>
    </row>
    <row r="42" spans="1:43" ht="31.5" customHeight="1">
      <c r="A42" s="1201" t="s">
        <v>1174</v>
      </c>
      <c r="B42" s="3410" t="s">
        <v>834</v>
      </c>
      <c r="C42" s="3412"/>
      <c r="D42" s="1036" t="s">
        <v>3</v>
      </c>
      <c r="E42" s="101" t="s">
        <v>424</v>
      </c>
      <c r="F42" s="1224">
        <v>12.5</v>
      </c>
      <c r="G42" s="1225">
        <f>R.HN!C26</f>
        <v>0</v>
      </c>
      <c r="H42" s="34">
        <f>(1*G42*36.5)/(1*10)</f>
        <v>0</v>
      </c>
      <c r="I42" s="34">
        <f>($F$26-H42)*2605/32</f>
        <v>1017.578125</v>
      </c>
      <c r="J42" s="36" t="s">
        <v>8</v>
      </c>
      <c r="K42" s="37">
        <f>IF(I42&lt;0,0,I42)</f>
        <v>1017.578125</v>
      </c>
      <c r="L42" s="211" t="s">
        <v>10</v>
      </c>
      <c r="M42" s="1225">
        <f>R.HN!D26</f>
        <v>0</v>
      </c>
      <c r="N42" s="34">
        <f>(1*M42*36.5)/(1*10)</f>
        <v>0</v>
      </c>
      <c r="O42" s="34">
        <f>($F$26-N42)*2605/32</f>
        <v>1017.578125</v>
      </c>
      <c r="P42" s="36" t="s">
        <v>8</v>
      </c>
      <c r="Q42" s="37">
        <f>IF(O42&lt;0,0,O42)</f>
        <v>1017.578125</v>
      </c>
      <c r="R42" s="211" t="s">
        <v>10</v>
      </c>
      <c r="S42" s="1225">
        <f>R.HN!E26</f>
        <v>0</v>
      </c>
      <c r="T42" s="34">
        <f>(1*S42*36.5)/(1*10)</f>
        <v>0</v>
      </c>
      <c r="U42" s="34">
        <f>($F$26-T42)*2605/32</f>
        <v>1017.578125</v>
      </c>
      <c r="V42" s="36" t="s">
        <v>8</v>
      </c>
      <c r="W42" s="37">
        <f>IF(U42&lt;0,0,U42)</f>
        <v>1017.578125</v>
      </c>
      <c r="X42" s="211" t="s">
        <v>10</v>
      </c>
      <c r="Y42" s="1225">
        <f>R.HN!F26</f>
        <v>0</v>
      </c>
      <c r="Z42" s="34">
        <f>(1*Y42*36.5)/(1*10)</f>
        <v>0</v>
      </c>
      <c r="AA42" s="34">
        <f>($F$26-Z42)*2605/32</f>
        <v>1017.578125</v>
      </c>
      <c r="AB42" s="36" t="s">
        <v>8</v>
      </c>
      <c r="AC42" s="37">
        <f>IF(AA42&lt;0,0,AA42)</f>
        <v>1017.578125</v>
      </c>
      <c r="AD42" s="211" t="s">
        <v>10</v>
      </c>
      <c r="AE42" s="1225">
        <f>R.HN!G26</f>
        <v>0</v>
      </c>
      <c r="AF42" s="34">
        <f>(1*AE42*36.5)/(1*10)</f>
        <v>0</v>
      </c>
      <c r="AG42" s="34">
        <f>($F$26-AF42)*2605/32</f>
        <v>1017.578125</v>
      </c>
      <c r="AH42" s="36" t="s">
        <v>8</v>
      </c>
      <c r="AI42" s="37">
        <f>IF(AG42&lt;0,0,AG42)</f>
        <v>1017.578125</v>
      </c>
      <c r="AJ42" s="211" t="s">
        <v>10</v>
      </c>
      <c r="AK42" s="1225">
        <f>R.HN!H26</f>
        <v>0</v>
      </c>
      <c r="AL42" s="34">
        <f>(1*AK42*36.5)/(1*10)</f>
        <v>0</v>
      </c>
      <c r="AM42" s="34">
        <f>($F$26-AL42)*2605/32</f>
        <v>1017.578125</v>
      </c>
      <c r="AN42" s="36" t="s">
        <v>8</v>
      </c>
      <c r="AO42" s="37">
        <f>IF(AM42&lt;0,0,AM42)</f>
        <v>1017.578125</v>
      </c>
      <c r="AP42" s="38" t="s">
        <v>10</v>
      </c>
      <c r="AQ42" s="264" t="s">
        <v>456</v>
      </c>
    </row>
    <row r="43" spans="1:43" ht="31.5" customHeight="1">
      <c r="A43" s="1201" t="s">
        <v>1175</v>
      </c>
      <c r="B43" s="3553" t="s">
        <v>428</v>
      </c>
      <c r="C43" s="3554"/>
      <c r="D43" s="3559" t="s">
        <v>429</v>
      </c>
      <c r="E43" s="101" t="s">
        <v>1051</v>
      </c>
      <c r="F43" s="1234">
        <v>50</v>
      </c>
      <c r="G43" s="1225">
        <f>R.HN!C27</f>
        <v>0</v>
      </c>
      <c r="H43" s="34">
        <f>G43*10</f>
        <v>0</v>
      </c>
      <c r="I43" s="34">
        <f>($F$43-H43)*4935/1000</f>
        <v>246.75</v>
      </c>
      <c r="J43" s="36" t="s">
        <v>8</v>
      </c>
      <c r="K43" s="37">
        <f>IF(I43&lt;0,0,I43)</f>
        <v>246.75</v>
      </c>
      <c r="L43" s="211" t="s">
        <v>9</v>
      </c>
      <c r="M43" s="1225">
        <f>R.HN!D27</f>
        <v>0</v>
      </c>
      <c r="N43" s="34">
        <f>M43*10</f>
        <v>0</v>
      </c>
      <c r="O43" s="34">
        <f>($F$43-N43)*4935/1000</f>
        <v>246.75</v>
      </c>
      <c r="P43" s="36" t="s">
        <v>8</v>
      </c>
      <c r="Q43" s="37">
        <f>IF(O43&lt;0,0,O43)</f>
        <v>246.75</v>
      </c>
      <c r="R43" s="211" t="s">
        <v>9</v>
      </c>
      <c r="S43" s="1225">
        <f>R.HN!E27</f>
        <v>0</v>
      </c>
      <c r="T43" s="34">
        <f>S43*10</f>
        <v>0</v>
      </c>
      <c r="U43" s="34">
        <f>($F$43-T43)*4935/1000</f>
        <v>246.75</v>
      </c>
      <c r="V43" s="36" t="s">
        <v>8</v>
      </c>
      <c r="W43" s="37">
        <f>IF(U43&lt;0,0,U43)</f>
        <v>246.75</v>
      </c>
      <c r="X43" s="211" t="s">
        <v>9</v>
      </c>
      <c r="Y43" s="1225">
        <f>R.HN!F27</f>
        <v>0</v>
      </c>
      <c r="Z43" s="34">
        <f>Y43*10</f>
        <v>0</v>
      </c>
      <c r="AA43" s="34">
        <f>($F$43-Z43)*4935/1000</f>
        <v>246.75</v>
      </c>
      <c r="AB43" s="36" t="s">
        <v>8</v>
      </c>
      <c r="AC43" s="37">
        <f>IF(AA43&lt;0,0,AA43)</f>
        <v>246.75</v>
      </c>
      <c r="AD43" s="211" t="s">
        <v>9</v>
      </c>
      <c r="AE43" s="1225">
        <f>R.HN!G27</f>
        <v>0</v>
      </c>
      <c r="AF43" s="34">
        <f>AE43*10</f>
        <v>0</v>
      </c>
      <c r="AG43" s="34">
        <f>($F$43-AF43)*4935/1000</f>
        <v>246.75</v>
      </c>
      <c r="AH43" s="36" t="s">
        <v>8</v>
      </c>
      <c r="AI43" s="37">
        <f>IF(AG43&lt;0,0,AG43)</f>
        <v>246.75</v>
      </c>
      <c r="AJ43" s="211" t="s">
        <v>9</v>
      </c>
      <c r="AK43" s="1225">
        <f>R.HN!H27</f>
        <v>0</v>
      </c>
      <c r="AL43" s="34">
        <f>AK43*10</f>
        <v>0</v>
      </c>
      <c r="AM43" s="34">
        <f>($F$43-AL43)*4935/1000</f>
        <v>246.75</v>
      </c>
      <c r="AN43" s="36" t="s">
        <v>8</v>
      </c>
      <c r="AO43" s="37">
        <f>IF(AM43&lt;0,0,AM43)</f>
        <v>246.75</v>
      </c>
      <c r="AP43" s="38" t="s">
        <v>9</v>
      </c>
      <c r="AQ43" s="264" t="s">
        <v>456</v>
      </c>
    </row>
    <row r="44" spans="1:43" ht="31.5" customHeight="1">
      <c r="A44" s="1201" t="s">
        <v>1176</v>
      </c>
      <c r="B44" s="3555"/>
      <c r="C44" s="3556"/>
      <c r="D44" s="3559"/>
      <c r="E44" s="101" t="s">
        <v>1052</v>
      </c>
      <c r="F44" s="1225">
        <v>6.5</v>
      </c>
      <c r="G44" s="1225">
        <f>R.HN!C28</f>
        <v>0</v>
      </c>
      <c r="H44" s="34">
        <f>IFERROR(H43/G44,0)</f>
        <v>0</v>
      </c>
      <c r="I44" s="34">
        <f>($F$44-H44)*4935/1000</f>
        <v>32.077500000000001</v>
      </c>
      <c r="J44" s="36"/>
      <c r="K44" s="37">
        <f>IF(I44&lt;0,0,I44)</f>
        <v>32.077500000000001</v>
      </c>
      <c r="L44" s="211" t="s">
        <v>9</v>
      </c>
      <c r="M44" s="1225">
        <f>R.HN!D28</f>
        <v>0</v>
      </c>
      <c r="N44" s="34">
        <f>IFERROR(N43/M44,0)</f>
        <v>0</v>
      </c>
      <c r="O44" s="34">
        <f>($F$44-N44)*4935/1000</f>
        <v>32.077500000000001</v>
      </c>
      <c r="P44" s="36"/>
      <c r="Q44" s="37">
        <f>IF(O44&lt;0,0,O44)</f>
        <v>32.077500000000001</v>
      </c>
      <c r="R44" s="211" t="s">
        <v>9</v>
      </c>
      <c r="S44" s="1225">
        <f>R.HN!E28</f>
        <v>0</v>
      </c>
      <c r="T44" s="34">
        <f>IFERROR(T43/S44,0)</f>
        <v>0</v>
      </c>
      <c r="U44" s="34">
        <f>($F$44-T44)*4935/1000</f>
        <v>32.077500000000001</v>
      </c>
      <c r="V44" s="36"/>
      <c r="W44" s="37">
        <f>IF(U44&lt;0,0,U44)</f>
        <v>32.077500000000001</v>
      </c>
      <c r="X44" s="211" t="s">
        <v>9</v>
      </c>
      <c r="Y44" s="1225">
        <f>R.HN!F28</f>
        <v>0</v>
      </c>
      <c r="Z44" s="34">
        <f>IFERROR(Z43/Y44,0)</f>
        <v>0</v>
      </c>
      <c r="AA44" s="34">
        <f>($F$44-Z44)*4935/1000</f>
        <v>32.077500000000001</v>
      </c>
      <c r="AB44" s="36"/>
      <c r="AC44" s="37">
        <f>IF(AA44&lt;0,0,AA44)</f>
        <v>32.077500000000001</v>
      </c>
      <c r="AD44" s="211" t="s">
        <v>9</v>
      </c>
      <c r="AE44" s="1225">
        <f>R.HN!G28</f>
        <v>0</v>
      </c>
      <c r="AF44" s="34">
        <f>IFERROR(AF43/AE44,0)</f>
        <v>0</v>
      </c>
      <c r="AG44" s="34">
        <f>($F$44-AF44)*4935/1000</f>
        <v>32.077500000000001</v>
      </c>
      <c r="AH44" s="36"/>
      <c r="AI44" s="37">
        <f>IF(AG44&lt;0,0,AG44)</f>
        <v>32.077500000000001</v>
      </c>
      <c r="AJ44" s="211" t="s">
        <v>9</v>
      </c>
      <c r="AK44" s="1225">
        <f>R.HN!H28</f>
        <v>0</v>
      </c>
      <c r="AL44" s="34">
        <f>IFERROR(AL43/AK44,0)</f>
        <v>0</v>
      </c>
      <c r="AM44" s="34">
        <f>($F$44-AL44)*4935/1000</f>
        <v>32.077500000000001</v>
      </c>
      <c r="AN44" s="36"/>
      <c r="AO44" s="37">
        <f>IF(AM44&lt;0,0,AM44)</f>
        <v>32.077500000000001</v>
      </c>
      <c r="AP44" s="38" t="s">
        <v>9</v>
      </c>
      <c r="AQ44" s="264" t="s">
        <v>456</v>
      </c>
    </row>
    <row r="45" spans="1:43" ht="31.5" customHeight="1">
      <c r="A45" s="1201" t="s">
        <v>1177</v>
      </c>
      <c r="B45" s="3557"/>
      <c r="C45" s="3558"/>
      <c r="D45" s="3559"/>
      <c r="E45" s="101" t="s">
        <v>1053</v>
      </c>
      <c r="F45" s="1235">
        <v>0.4</v>
      </c>
      <c r="G45" s="1225">
        <f>R.HN!C29</f>
        <v>0</v>
      </c>
      <c r="H45" s="1228">
        <f>G45</f>
        <v>0</v>
      </c>
      <c r="I45" s="34"/>
      <c r="J45" s="36"/>
      <c r="K45" s="39"/>
      <c r="L45" s="211" t="s">
        <v>9</v>
      </c>
      <c r="M45" s="1225">
        <f>R.HN!D29</f>
        <v>0</v>
      </c>
      <c r="N45" s="1228">
        <f>M45</f>
        <v>0</v>
      </c>
      <c r="O45" s="34"/>
      <c r="P45" s="36"/>
      <c r="Q45" s="39"/>
      <c r="R45" s="211" t="s">
        <v>9</v>
      </c>
      <c r="S45" s="1225">
        <f>R.HN!E29</f>
        <v>0</v>
      </c>
      <c r="T45" s="1228">
        <f>S45</f>
        <v>0</v>
      </c>
      <c r="U45" s="34"/>
      <c r="V45" s="36"/>
      <c r="W45" s="39"/>
      <c r="X45" s="211" t="s">
        <v>9</v>
      </c>
      <c r="Y45" s="1225">
        <f>R.HN!F29</f>
        <v>0</v>
      </c>
      <c r="Z45" s="1228">
        <f>Y45</f>
        <v>0</v>
      </c>
      <c r="AA45" s="34"/>
      <c r="AB45" s="36"/>
      <c r="AC45" s="39"/>
      <c r="AD45" s="211" t="s">
        <v>9</v>
      </c>
      <c r="AE45" s="1225">
        <f>R.HN!G29</f>
        <v>0</v>
      </c>
      <c r="AF45" s="1228">
        <f>AE45</f>
        <v>0</v>
      </c>
      <c r="AG45" s="34"/>
      <c r="AH45" s="36"/>
      <c r="AI45" s="39"/>
      <c r="AJ45" s="211" t="s">
        <v>9</v>
      </c>
      <c r="AK45" s="1225">
        <f>R.HN!H29</f>
        <v>0</v>
      </c>
      <c r="AL45" s="1228">
        <f>AK45</f>
        <v>0</v>
      </c>
      <c r="AM45" s="34"/>
      <c r="AN45" s="36"/>
      <c r="AO45" s="39"/>
      <c r="AP45" s="38" t="s">
        <v>9</v>
      </c>
      <c r="AQ45" s="264" t="s">
        <v>456</v>
      </c>
    </row>
    <row r="46" spans="1:43" ht="31.5" customHeight="1">
      <c r="A46" s="1201" t="s">
        <v>1178</v>
      </c>
      <c r="B46" s="3553" t="s">
        <v>438</v>
      </c>
      <c r="C46" s="3554"/>
      <c r="D46" s="44" t="s">
        <v>429</v>
      </c>
      <c r="E46" s="101" t="s">
        <v>439</v>
      </c>
      <c r="F46" s="1227">
        <v>1</v>
      </c>
      <c r="G46" s="1225">
        <f>R.HN!C33</f>
        <v>0</v>
      </c>
      <c r="H46" s="34">
        <f>G46</f>
        <v>0</v>
      </c>
      <c r="I46" s="34">
        <f>($F$30-H46)*1234/1000</f>
        <v>1.234</v>
      </c>
      <c r="J46" s="36" t="s">
        <v>8</v>
      </c>
      <c r="K46" s="39">
        <f>IF(I46&lt;0,0,I46)</f>
        <v>1.234</v>
      </c>
      <c r="L46" s="211" t="s">
        <v>9</v>
      </c>
      <c r="M46" s="1225">
        <f>R.HN!D33</f>
        <v>0</v>
      </c>
      <c r="N46" s="34">
        <f>M46</f>
        <v>0</v>
      </c>
      <c r="O46" s="34">
        <f>($F$30-N46)*1234/1000</f>
        <v>1.234</v>
      </c>
      <c r="P46" s="36" t="s">
        <v>8</v>
      </c>
      <c r="Q46" s="39">
        <f>IF(O46&lt;0,0,O46)</f>
        <v>1.234</v>
      </c>
      <c r="R46" s="211" t="s">
        <v>9</v>
      </c>
      <c r="S46" s="1225">
        <f>R.HN!E33</f>
        <v>0</v>
      </c>
      <c r="T46" s="34">
        <f>S46</f>
        <v>0</v>
      </c>
      <c r="U46" s="34">
        <f>($F$30-T46)*1234/1000</f>
        <v>1.234</v>
      </c>
      <c r="V46" s="36" t="s">
        <v>8</v>
      </c>
      <c r="W46" s="39">
        <f>IF(U46&lt;0,0,U46)</f>
        <v>1.234</v>
      </c>
      <c r="X46" s="211" t="s">
        <v>9</v>
      </c>
      <c r="Y46" s="1225">
        <f>R.HN!F33</f>
        <v>0</v>
      </c>
      <c r="Z46" s="34">
        <f>Y46</f>
        <v>0</v>
      </c>
      <c r="AA46" s="34">
        <f>($F$30-Z46)*1234/1000</f>
        <v>1.234</v>
      </c>
      <c r="AB46" s="36" t="s">
        <v>8</v>
      </c>
      <c r="AC46" s="39">
        <f>IF(AA46&lt;0,0,AA46)</f>
        <v>1.234</v>
      </c>
      <c r="AD46" s="211" t="s">
        <v>9</v>
      </c>
      <c r="AE46" s="1225">
        <f>R.HN!G33</f>
        <v>0</v>
      </c>
      <c r="AF46" s="34">
        <f>AE46</f>
        <v>0</v>
      </c>
      <c r="AG46" s="34">
        <f>($F$30-AF46)*1234/1000</f>
        <v>1.234</v>
      </c>
      <c r="AH46" s="36" t="s">
        <v>8</v>
      </c>
      <c r="AI46" s="39">
        <f>IF(AG46&lt;0,0,AG46)</f>
        <v>1.234</v>
      </c>
      <c r="AJ46" s="211" t="s">
        <v>9</v>
      </c>
      <c r="AK46" s="1225">
        <f>R.HN!H33</f>
        <v>0</v>
      </c>
      <c r="AL46" s="34">
        <f>AK46</f>
        <v>0</v>
      </c>
      <c r="AM46" s="34">
        <f>($F$30-AL46)*1234/1000</f>
        <v>1.234</v>
      </c>
      <c r="AN46" s="36" t="s">
        <v>8</v>
      </c>
      <c r="AO46" s="39">
        <f>IF(AM46&lt;0,0,AM46)</f>
        <v>1.234</v>
      </c>
      <c r="AP46" s="38" t="s">
        <v>9</v>
      </c>
      <c r="AQ46" s="264" t="s">
        <v>456</v>
      </c>
    </row>
    <row r="47" spans="1:43" ht="31.5" customHeight="1">
      <c r="A47" s="1201" t="s">
        <v>1179</v>
      </c>
      <c r="B47" s="3565"/>
      <c r="C47" s="3566"/>
      <c r="D47" s="44" t="s">
        <v>5</v>
      </c>
      <c r="E47" s="101" t="s">
        <v>1167</v>
      </c>
      <c r="F47" s="1229">
        <v>9.5</v>
      </c>
      <c r="G47" s="1225">
        <f>R.HN!C34</f>
        <v>0</v>
      </c>
      <c r="H47" s="34">
        <f>G47</f>
        <v>0</v>
      </c>
      <c r="I47" s="34"/>
      <c r="J47" s="36"/>
      <c r="K47" s="37"/>
      <c r="L47" s="211"/>
      <c r="M47" s="1225">
        <f>R.HN!D34</f>
        <v>0</v>
      </c>
      <c r="N47" s="34">
        <f>M47</f>
        <v>0</v>
      </c>
      <c r="O47" s="34"/>
      <c r="P47" s="36"/>
      <c r="Q47" s="37"/>
      <c r="R47" s="211"/>
      <c r="S47" s="1225">
        <f>R.HN!E34</f>
        <v>0</v>
      </c>
      <c r="T47" s="34">
        <f>S47</f>
        <v>0</v>
      </c>
      <c r="U47" s="34"/>
      <c r="V47" s="36"/>
      <c r="W47" s="37"/>
      <c r="X47" s="211"/>
      <c r="Y47" s="1225">
        <f>R.HN!F34</f>
        <v>0</v>
      </c>
      <c r="Z47" s="34">
        <f>Y47</f>
        <v>0</v>
      </c>
      <c r="AA47" s="34"/>
      <c r="AB47" s="36"/>
      <c r="AC47" s="37"/>
      <c r="AD47" s="211"/>
      <c r="AE47" s="1225">
        <f>R.HN!G34</f>
        <v>0</v>
      </c>
      <c r="AF47" s="34">
        <f>AE47</f>
        <v>0</v>
      </c>
      <c r="AG47" s="34"/>
      <c r="AH47" s="36"/>
      <c r="AI47" s="37"/>
      <c r="AJ47" s="211"/>
      <c r="AK47" s="1225">
        <f>R.HN!H34</f>
        <v>0</v>
      </c>
      <c r="AL47" s="34">
        <f>AK47</f>
        <v>0</v>
      </c>
      <c r="AM47" s="34"/>
      <c r="AN47" s="36"/>
      <c r="AO47" s="37"/>
      <c r="AP47" s="38"/>
      <c r="AQ47" s="264" t="s">
        <v>456</v>
      </c>
    </row>
    <row r="48" spans="1:43" ht="33" customHeight="1">
      <c r="A48" s="284" t="s">
        <v>72</v>
      </c>
      <c r="B48" s="285"/>
      <c r="C48" s="285"/>
      <c r="D48" s="285"/>
      <c r="E48" s="282"/>
      <c r="F48" s="285"/>
      <c r="G48" s="285"/>
      <c r="H48" s="285"/>
      <c r="I48" s="285"/>
      <c r="J48" s="285"/>
      <c r="K48" s="285"/>
      <c r="L48" s="285"/>
      <c r="M48" s="285"/>
      <c r="N48" s="286"/>
      <c r="O48" s="285"/>
      <c r="P48" s="285"/>
      <c r="Q48" s="285"/>
      <c r="R48" s="286"/>
      <c r="S48" s="285"/>
      <c r="T48" s="286"/>
      <c r="U48" s="285"/>
      <c r="V48" s="285"/>
      <c r="W48" s="285"/>
      <c r="X48" s="285"/>
      <c r="Y48" s="285"/>
      <c r="Z48" s="285"/>
      <c r="AA48" s="285"/>
      <c r="AB48" s="285"/>
      <c r="AC48" s="285"/>
      <c r="AD48" s="285"/>
      <c r="AE48" s="286"/>
      <c r="AF48" s="286"/>
      <c r="AG48" s="286"/>
      <c r="AH48" s="286"/>
      <c r="AI48" s="286"/>
      <c r="AJ48" s="286"/>
      <c r="AK48" s="286"/>
      <c r="AL48" s="286"/>
      <c r="AM48" s="286"/>
      <c r="AN48" s="286"/>
      <c r="AO48" s="286"/>
      <c r="AP48" s="1001"/>
    </row>
    <row r="49" spans="1:55" ht="51.75" customHeight="1">
      <c r="A49" s="1201" t="s">
        <v>236</v>
      </c>
      <c r="B49" s="3370" t="s">
        <v>60</v>
      </c>
      <c r="C49" s="3372"/>
      <c r="D49" s="277" t="s">
        <v>62</v>
      </c>
      <c r="E49" s="277" t="s">
        <v>63</v>
      </c>
      <c r="F49" s="1230"/>
      <c r="G49" s="1230"/>
      <c r="H49" s="279" t="s">
        <v>45</v>
      </c>
      <c r="I49" s="280"/>
      <c r="J49" s="280"/>
      <c r="K49" s="279" t="s">
        <v>61</v>
      </c>
      <c r="L49" s="293"/>
      <c r="M49" s="277"/>
      <c r="N49" s="279" t="s">
        <v>45</v>
      </c>
      <c r="O49" s="280"/>
      <c r="P49" s="280"/>
      <c r="Q49" s="279" t="s">
        <v>61</v>
      </c>
      <c r="R49" s="293"/>
      <c r="S49" s="90"/>
      <c r="T49" s="279" t="s">
        <v>45</v>
      </c>
      <c r="U49" s="280"/>
      <c r="V49" s="280"/>
      <c r="W49" s="279" t="s">
        <v>61</v>
      </c>
      <c r="X49" s="293"/>
      <c r="Y49" s="91"/>
      <c r="Z49" s="279" t="s">
        <v>45</v>
      </c>
      <c r="AA49" s="280"/>
      <c r="AB49" s="280"/>
      <c r="AC49" s="279" t="s">
        <v>61</v>
      </c>
      <c r="AD49" s="293"/>
      <c r="AE49" s="91"/>
      <c r="AF49" s="279" t="s">
        <v>45</v>
      </c>
      <c r="AG49" s="280"/>
      <c r="AH49" s="280"/>
      <c r="AI49" s="279" t="s">
        <v>61</v>
      </c>
      <c r="AJ49" s="293"/>
      <c r="AK49" s="91"/>
      <c r="AL49" s="279" t="s">
        <v>45</v>
      </c>
      <c r="AM49" s="280"/>
      <c r="AN49" s="280"/>
      <c r="AO49" s="279" t="s">
        <v>61</v>
      </c>
      <c r="AP49" s="293"/>
    </row>
    <row r="50" spans="1:55" ht="30" customHeight="1">
      <c r="A50" s="1201" t="s">
        <v>1180</v>
      </c>
      <c r="B50" s="3370" t="s">
        <v>452</v>
      </c>
      <c r="C50" s="3372"/>
      <c r="D50" s="21" t="s">
        <v>104</v>
      </c>
      <c r="E50" s="101" t="s">
        <v>1169</v>
      </c>
      <c r="F50" s="95"/>
      <c r="G50" s="95"/>
      <c r="H50" s="3098"/>
      <c r="I50" s="3099"/>
      <c r="J50" s="3099"/>
      <c r="K50" s="3098"/>
      <c r="L50" s="3099"/>
      <c r="M50" s="3099"/>
      <c r="N50" s="3098"/>
      <c r="O50" s="3099"/>
      <c r="P50" s="3099"/>
      <c r="Q50" s="3098"/>
      <c r="R50" s="3099"/>
      <c r="S50" s="3099"/>
      <c r="T50" s="3098"/>
      <c r="U50" s="3099"/>
      <c r="V50" s="3099"/>
      <c r="W50" s="3098"/>
      <c r="X50" s="3099"/>
      <c r="Y50" s="3099"/>
      <c r="Z50" s="3098"/>
      <c r="AA50" s="3099"/>
      <c r="AB50" s="3099"/>
      <c r="AC50" s="3098"/>
      <c r="AD50" s="3099"/>
      <c r="AE50" s="3099"/>
      <c r="AF50" s="3098"/>
      <c r="AG50" s="3099"/>
      <c r="AH50" s="3099"/>
      <c r="AI50" s="3098"/>
      <c r="AJ50" s="3099"/>
      <c r="AK50" s="3099"/>
      <c r="AL50" s="3098"/>
      <c r="AM50" s="3099"/>
      <c r="AN50" s="3099"/>
      <c r="AO50" s="3184"/>
      <c r="AP50" s="3184"/>
      <c r="AQ50" s="3184"/>
    </row>
    <row r="51" spans="1:55" ht="30" customHeight="1">
      <c r="A51" s="1201" t="s">
        <v>1181</v>
      </c>
      <c r="B51" s="3370" t="s">
        <v>445</v>
      </c>
      <c r="C51" s="3372"/>
      <c r="D51" s="21" t="s">
        <v>104</v>
      </c>
      <c r="E51" s="101" t="s">
        <v>1160</v>
      </c>
      <c r="F51" s="95"/>
      <c r="G51" s="95"/>
      <c r="H51" s="3098"/>
      <c r="I51" s="3099"/>
      <c r="J51" s="3099"/>
      <c r="K51" s="3098"/>
      <c r="L51" s="3099"/>
      <c r="M51" s="3099"/>
      <c r="N51" s="3098"/>
      <c r="O51" s="3099"/>
      <c r="P51" s="3099"/>
      <c r="Q51" s="3098"/>
      <c r="R51" s="3099"/>
      <c r="S51" s="3099"/>
      <c r="T51" s="3098"/>
      <c r="U51" s="3099"/>
      <c r="V51" s="3099"/>
      <c r="W51" s="3098"/>
      <c r="X51" s="3099"/>
      <c r="Y51" s="3099"/>
      <c r="Z51" s="3098"/>
      <c r="AA51" s="3099"/>
      <c r="AB51" s="3099"/>
      <c r="AC51" s="3098"/>
      <c r="AD51" s="3099"/>
      <c r="AE51" s="3099"/>
      <c r="AF51" s="3098"/>
      <c r="AG51" s="3099"/>
      <c r="AH51" s="3099"/>
      <c r="AI51" s="3098"/>
      <c r="AJ51" s="3099"/>
      <c r="AK51" s="3099"/>
      <c r="AL51" s="3098"/>
      <c r="AM51" s="3099"/>
      <c r="AN51" s="3099"/>
      <c r="AO51" s="3184"/>
      <c r="AP51" s="3184"/>
      <c r="AQ51" s="3184"/>
    </row>
    <row r="52" spans="1:55" ht="30" customHeight="1">
      <c r="A52" s="1201" t="s">
        <v>1182</v>
      </c>
      <c r="B52" s="3370" t="s">
        <v>438</v>
      </c>
      <c r="C52" s="3372"/>
      <c r="D52" s="21" t="s">
        <v>104</v>
      </c>
      <c r="E52" s="101" t="s">
        <v>1161</v>
      </c>
      <c r="F52" s="1236"/>
      <c r="G52" s="1236"/>
      <c r="H52" s="3098"/>
      <c r="I52" s="3099"/>
      <c r="J52" s="3099"/>
      <c r="K52" s="3098"/>
      <c r="L52" s="3099"/>
      <c r="M52" s="3099"/>
      <c r="N52" s="3098"/>
      <c r="O52" s="3099"/>
      <c r="P52" s="3099"/>
      <c r="Q52" s="3098"/>
      <c r="R52" s="3099"/>
      <c r="S52" s="3099"/>
      <c r="T52" s="3098"/>
      <c r="U52" s="3099"/>
      <c r="V52" s="3099"/>
      <c r="W52" s="3098"/>
      <c r="X52" s="3099"/>
      <c r="Y52" s="3099"/>
      <c r="Z52" s="3098"/>
      <c r="AA52" s="3099"/>
      <c r="AB52" s="3099"/>
      <c r="AC52" s="3098"/>
      <c r="AD52" s="3099"/>
      <c r="AE52" s="3099"/>
      <c r="AF52" s="3098"/>
      <c r="AG52" s="3099"/>
      <c r="AH52" s="3099"/>
      <c r="AI52" s="3098"/>
      <c r="AJ52" s="3099"/>
      <c r="AK52" s="3099"/>
      <c r="AL52" s="3098"/>
      <c r="AM52" s="3099"/>
      <c r="AN52" s="3099"/>
      <c r="AO52" s="3184"/>
      <c r="AP52" s="3184"/>
      <c r="AQ52" s="3184"/>
    </row>
    <row r="53" spans="1:55" ht="23.25" customHeight="1">
      <c r="A53" s="403"/>
      <c r="B53" s="89"/>
      <c r="C53" s="89"/>
      <c r="D53" s="1238"/>
      <c r="E53" s="607"/>
      <c r="F53" s="1236"/>
      <c r="G53" s="1236"/>
      <c r="H53" s="99"/>
      <c r="I53" s="99"/>
      <c r="J53" s="99"/>
      <c r="K53" s="99"/>
      <c r="L53" s="99"/>
      <c r="M53" s="99"/>
      <c r="N53" s="99"/>
      <c r="O53" s="99"/>
      <c r="P53" s="99"/>
      <c r="Q53" s="99"/>
      <c r="R53" s="99"/>
      <c r="S53" s="99"/>
      <c r="T53" s="99"/>
      <c r="U53" s="99"/>
      <c r="V53" s="99"/>
      <c r="W53" s="99"/>
      <c r="X53" s="99"/>
      <c r="Y53" s="99"/>
      <c r="Z53" s="99"/>
      <c r="AA53" s="99"/>
      <c r="AB53" s="99"/>
      <c r="AC53" s="99"/>
      <c r="AD53" s="2345"/>
      <c r="AE53" s="99"/>
      <c r="AF53" s="99"/>
      <c r="AG53" s="99"/>
      <c r="AH53" s="99"/>
      <c r="AI53" s="99"/>
      <c r="AJ53" s="99"/>
      <c r="AK53" s="99"/>
      <c r="AL53" s="99"/>
      <c r="AM53" s="99"/>
      <c r="AN53" s="99"/>
      <c r="AO53" s="99"/>
      <c r="AP53" s="99"/>
    </row>
    <row r="54" spans="1:55" ht="33.75" customHeight="1">
      <c r="A54" s="1960" t="s">
        <v>1660</v>
      </c>
      <c r="B54" s="1961"/>
      <c r="C54" s="1961"/>
      <c r="D54" s="1961"/>
      <c r="E54" s="1962"/>
      <c r="F54" s="1963"/>
      <c r="G54" s="1964"/>
      <c r="H54" s="2740" t="s">
        <v>71</v>
      </c>
      <c r="I54" s="1966"/>
      <c r="J54" s="1966"/>
      <c r="K54" s="1966"/>
      <c r="L54" s="1966"/>
      <c r="M54" s="1966"/>
      <c r="N54" s="1966"/>
      <c r="O54" s="1966"/>
      <c r="P54" s="1966"/>
      <c r="Q54" s="1966"/>
      <c r="R54" s="1967"/>
      <c r="S54" s="1966"/>
      <c r="T54" s="2741"/>
      <c r="U54" s="2741"/>
      <c r="V54" s="2741"/>
      <c r="W54" s="2741"/>
      <c r="X54" s="2741"/>
      <c r="Y54" s="2741"/>
      <c r="Z54" s="2741"/>
      <c r="AA54" s="2741"/>
      <c r="AB54" s="2741"/>
      <c r="AC54" s="2741"/>
      <c r="AD54" s="2741"/>
      <c r="AE54" s="2344"/>
      <c r="AP54" s="264"/>
    </row>
    <row r="55" spans="1:55" ht="30" customHeight="1">
      <c r="A55" s="417"/>
      <c r="B55" s="3568" t="s">
        <v>75</v>
      </c>
      <c r="C55" s="3569"/>
      <c r="D55" s="3572" t="s">
        <v>123</v>
      </c>
      <c r="E55" s="3574" t="s">
        <v>63</v>
      </c>
      <c r="F55" s="1221"/>
      <c r="G55" s="82"/>
      <c r="H55" s="3576" t="s">
        <v>469</v>
      </c>
      <c r="I55" s="3576"/>
      <c r="J55" s="3576"/>
      <c r="K55" s="3576"/>
      <c r="L55" s="3576"/>
      <c r="M55" s="419"/>
      <c r="N55" s="3577" t="s">
        <v>1451</v>
      </c>
      <c r="O55" s="3578"/>
      <c r="P55" s="3578"/>
      <c r="Q55" s="3578"/>
      <c r="R55" s="3579"/>
      <c r="S55" s="2737"/>
      <c r="T55" s="2741" t="s">
        <v>1451</v>
      </c>
      <c r="U55" s="2741"/>
      <c r="V55" s="2741"/>
      <c r="W55" s="2741"/>
      <c r="X55" s="2741"/>
      <c r="Y55" s="2741"/>
      <c r="Z55" s="2741" t="s">
        <v>1564</v>
      </c>
      <c r="AA55" s="2741"/>
      <c r="AB55" s="2741"/>
      <c r="AC55" s="2741"/>
      <c r="AD55" s="2741"/>
      <c r="AE55" s="1241"/>
      <c r="AF55" s="2705">
        <v>0.375</v>
      </c>
      <c r="AG55" s="2703"/>
      <c r="AH55" s="1240"/>
      <c r="AI55" s="2705">
        <v>0.375</v>
      </c>
      <c r="AJ55" s="2711"/>
      <c r="AK55" s="2710"/>
      <c r="AL55" s="2710"/>
      <c r="AM55" s="1240"/>
      <c r="AN55" s="1240"/>
      <c r="AO55" s="1240"/>
      <c r="AP55" s="1240"/>
      <c r="AQ55" s="1241"/>
      <c r="AR55" s="1240"/>
      <c r="AS55" s="1240"/>
      <c r="AT55" s="1240"/>
      <c r="AU55" s="1240"/>
      <c r="AV55" s="1240"/>
      <c r="AW55" s="1241"/>
      <c r="AX55" s="1240"/>
      <c r="AY55" s="1240"/>
      <c r="AZ55" s="1240"/>
      <c r="BA55" s="1240"/>
      <c r="BB55" s="1240"/>
    </row>
    <row r="56" spans="1:55" ht="30" customHeight="1">
      <c r="A56" s="1200" t="s">
        <v>236</v>
      </c>
      <c r="B56" s="3570"/>
      <c r="C56" s="3571"/>
      <c r="D56" s="3573"/>
      <c r="E56" s="3575"/>
      <c r="F56" s="1223" t="s">
        <v>420</v>
      </c>
      <c r="G56" s="20"/>
      <c r="H56" s="1923" t="s">
        <v>128</v>
      </c>
      <c r="I56" s="1723" t="s">
        <v>1</v>
      </c>
      <c r="J56" s="1724" t="s">
        <v>1</v>
      </c>
      <c r="K56" s="1724"/>
      <c r="L56" s="1725"/>
      <c r="M56" s="84"/>
      <c r="N56" s="1923" t="s">
        <v>128</v>
      </c>
      <c r="O56" s="1723" t="s">
        <v>1</v>
      </c>
      <c r="P56" s="1724" t="s">
        <v>1</v>
      </c>
      <c r="Q56" s="1724"/>
      <c r="R56" s="1725"/>
      <c r="S56" s="2738"/>
      <c r="T56" s="2741" t="s">
        <v>128</v>
      </c>
      <c r="U56" s="2741" t="s">
        <v>1</v>
      </c>
      <c r="V56" s="2741" t="s">
        <v>1</v>
      </c>
      <c r="W56" s="2741"/>
      <c r="X56" s="2741"/>
      <c r="Y56" s="2741"/>
      <c r="Z56" s="2741" t="s">
        <v>128</v>
      </c>
      <c r="AA56" s="2741" t="s">
        <v>1</v>
      </c>
      <c r="AB56" s="2741" t="s">
        <v>1</v>
      </c>
      <c r="AC56" s="2741"/>
      <c r="AD56" s="2741"/>
      <c r="AE56" s="1244"/>
      <c r="AF56" s="2708">
        <f>AI56-1</f>
        <v>45504</v>
      </c>
      <c r="AG56" s="2708"/>
      <c r="AH56" s="2072"/>
      <c r="AI56" s="2707" t="str">
        <f>B2</f>
        <v>2024/08/01</v>
      </c>
      <c r="AJ56" s="2709"/>
      <c r="AK56" s="403"/>
      <c r="AL56" s="403"/>
      <c r="AM56" s="1243"/>
      <c r="AN56" s="1243"/>
      <c r="AO56" s="1243"/>
      <c r="AP56" s="1243"/>
      <c r="AQ56" s="1244"/>
      <c r="AR56" s="403"/>
      <c r="AS56" s="1243"/>
      <c r="AT56" s="1243"/>
      <c r="AU56" s="1243"/>
      <c r="AV56" s="1243"/>
      <c r="AW56" s="403"/>
      <c r="AX56" s="403"/>
      <c r="AY56" s="1243"/>
      <c r="AZ56" s="1243"/>
      <c r="BA56" s="1243"/>
      <c r="BB56" s="1243"/>
    </row>
    <row r="57" spans="1:55" ht="36.75" customHeight="1">
      <c r="A57" s="1201" t="s">
        <v>470</v>
      </c>
      <c r="B57" s="3410" t="s">
        <v>471</v>
      </c>
      <c r="C57" s="3412"/>
      <c r="D57" s="44" t="s">
        <v>429</v>
      </c>
      <c r="E57" s="101" t="s">
        <v>472</v>
      </c>
      <c r="F57" s="1227">
        <v>15</v>
      </c>
      <c r="G57" s="1225">
        <f>R.HN!C39</f>
        <v>20.3</v>
      </c>
      <c r="H57" s="1867">
        <v>15.3</v>
      </c>
      <c r="I57" s="1737">
        <f>($F$57-H57)*2160*3.34/1000</f>
        <v>-2.1643200000000054</v>
      </c>
      <c r="J57" s="1738" t="s">
        <v>8</v>
      </c>
      <c r="K57" s="1739">
        <f>IF(I57&lt;0,0,I57)</f>
        <v>0</v>
      </c>
      <c r="L57" s="1740" t="s">
        <v>9</v>
      </c>
      <c r="M57" s="87">
        <f>R.HN!D39</f>
        <v>0</v>
      </c>
      <c r="N57" s="1867">
        <f t="shared" ref="N57:N63" si="0">M57</f>
        <v>0</v>
      </c>
      <c r="O57" s="1737">
        <f>($F$57-N57)*2160*3.34/1000</f>
        <v>108.21599999999999</v>
      </c>
      <c r="P57" s="1738" t="s">
        <v>8</v>
      </c>
      <c r="Q57" s="1739">
        <f t="shared" ref="Q57:Q63" si="1">IF(O57&lt;0,0,O57)</f>
        <v>108.21599999999999</v>
      </c>
      <c r="R57" s="1740" t="s">
        <v>9</v>
      </c>
      <c r="S57" s="1269">
        <f>R.HN!E39</f>
        <v>0</v>
      </c>
      <c r="T57" s="2741">
        <f t="shared" ref="T57:T63" si="2">S57</f>
        <v>0</v>
      </c>
      <c r="U57" s="2741">
        <f>($F$57-T57)*2160*3.34/1000</f>
        <v>108.21599999999999</v>
      </c>
      <c r="V57" s="2741" t="s">
        <v>8</v>
      </c>
      <c r="W57" s="2741">
        <f t="shared" ref="W57:W63" si="3">IF(U57&lt;0,0,U57)</f>
        <v>108.21599999999999</v>
      </c>
      <c r="X57" s="2741" t="s">
        <v>9</v>
      </c>
      <c r="Y57" s="2741">
        <f>R.HN!F39</f>
        <v>0</v>
      </c>
      <c r="Z57" s="2741">
        <f t="shared" ref="Z57:Z63" si="4">Y57</f>
        <v>0</v>
      </c>
      <c r="AA57" s="2741">
        <f>($F$57-Z57)*2160*3.34/1000</f>
        <v>108.21599999999999</v>
      </c>
      <c r="AB57" s="2741" t="s">
        <v>8</v>
      </c>
      <c r="AC57" s="2741">
        <f t="shared" ref="AC57:AC63" si="5">IF(AA57&lt;0,0,AA57)</f>
        <v>108.21599999999999</v>
      </c>
      <c r="AD57" s="2741" t="s">
        <v>9</v>
      </c>
      <c r="AE57" s="1250"/>
      <c r="AF57" s="2070">
        <f>'XM.FILE GOC'!BF6</f>
        <v>15.5</v>
      </c>
      <c r="AG57" s="2070">
        <f>'XM.FILE GOC'!BG6</f>
        <v>0</v>
      </c>
      <c r="AH57" s="1247"/>
      <c r="AI57" s="2071">
        <f>H57</f>
        <v>15.3</v>
      </c>
      <c r="AJ57" s="2712"/>
      <c r="AK57" s="2713"/>
      <c r="AL57" s="2712"/>
      <c r="AM57" s="1246"/>
      <c r="AN57" s="1247"/>
      <c r="AO57" s="1248"/>
      <c r="AP57" s="1249"/>
      <c r="AQ57" s="1250"/>
      <c r="AR57" s="1246"/>
      <c r="AS57" s="1246"/>
      <c r="AT57" s="1247"/>
      <c r="AU57" s="1248"/>
      <c r="AV57" s="1249"/>
      <c r="AW57" s="1250"/>
      <c r="AX57" s="1246"/>
      <c r="AY57" s="1246"/>
      <c r="AZ57" s="1247"/>
      <c r="BA57" s="1248"/>
      <c r="BB57" s="1249"/>
      <c r="BC57" s="264" t="s">
        <v>473</v>
      </c>
    </row>
    <row r="58" spans="1:55" ht="30" customHeight="1">
      <c r="A58" s="1201" t="s">
        <v>474</v>
      </c>
      <c r="B58" s="3410" t="s">
        <v>475</v>
      </c>
      <c r="C58" s="3412"/>
      <c r="D58" s="44" t="s">
        <v>429</v>
      </c>
      <c r="E58" s="101" t="s">
        <v>472</v>
      </c>
      <c r="F58" s="1227">
        <v>15</v>
      </c>
      <c r="G58" s="1225">
        <f>R.HN!C40</f>
        <v>8.6</v>
      </c>
      <c r="H58" s="1867">
        <v>15</v>
      </c>
      <c r="I58" s="1737">
        <f>($F$58-H58)*2160*3.34/1000</f>
        <v>0</v>
      </c>
      <c r="J58" s="1738" t="s">
        <v>8</v>
      </c>
      <c r="K58" s="1739">
        <f>IF(I58&lt;0,0,I58)</f>
        <v>0</v>
      </c>
      <c r="L58" s="1740" t="s">
        <v>9</v>
      </c>
      <c r="M58" s="87">
        <f>R.HN!D40</f>
        <v>0</v>
      </c>
      <c r="N58" s="1867">
        <f t="shared" si="0"/>
        <v>0</v>
      </c>
      <c r="O58" s="1737">
        <f>($F$58-N58)*2160*3.34/1000</f>
        <v>108.21599999999999</v>
      </c>
      <c r="P58" s="1738" t="s">
        <v>8</v>
      </c>
      <c r="Q58" s="1739">
        <f t="shared" si="1"/>
        <v>108.21599999999999</v>
      </c>
      <c r="R58" s="1740" t="s">
        <v>9</v>
      </c>
      <c r="S58" s="1269">
        <f>R.HN!E40</f>
        <v>0</v>
      </c>
      <c r="T58" s="2741">
        <f t="shared" si="2"/>
        <v>0</v>
      </c>
      <c r="U58" s="2741">
        <f>($F$58-T58)*2160*3.34/1000</f>
        <v>108.21599999999999</v>
      </c>
      <c r="V58" s="2741" t="s">
        <v>8</v>
      </c>
      <c r="W58" s="2741">
        <f t="shared" si="3"/>
        <v>108.21599999999999</v>
      </c>
      <c r="X58" s="2741" t="s">
        <v>9</v>
      </c>
      <c r="Y58" s="2741">
        <f>R.HN!F40</f>
        <v>0</v>
      </c>
      <c r="Z58" s="2741">
        <f t="shared" si="4"/>
        <v>0</v>
      </c>
      <c r="AA58" s="2741">
        <f>($F$58-Z58)*2160*3.34/1000</f>
        <v>108.21599999999999</v>
      </c>
      <c r="AB58" s="2741" t="s">
        <v>8</v>
      </c>
      <c r="AC58" s="2741">
        <f t="shared" si="5"/>
        <v>108.21599999999999</v>
      </c>
      <c r="AD58" s="2741" t="s">
        <v>9</v>
      </c>
      <c r="AE58" s="1250"/>
      <c r="AF58" s="2070">
        <f>'XM.FILE GOC'!BF7</f>
        <v>15.3</v>
      </c>
      <c r="AG58" s="2070">
        <f>'XM.FILE GOC'!BG7</f>
        <v>0</v>
      </c>
      <c r="AH58" s="1247"/>
      <c r="AI58" s="2071">
        <f t="shared" ref="AI58:AI72" si="6">H58</f>
        <v>15</v>
      </c>
      <c r="AJ58" s="2712"/>
      <c r="AK58" s="2713"/>
      <c r="AL58" s="2712"/>
      <c r="AM58" s="1246"/>
      <c r="AN58" s="1247"/>
      <c r="AO58" s="1248"/>
      <c r="AP58" s="1249"/>
      <c r="AQ58" s="1250"/>
      <c r="AR58" s="1246"/>
      <c r="AS58" s="1246"/>
      <c r="AT58" s="1247"/>
      <c r="AU58" s="1248"/>
      <c r="AV58" s="1249"/>
      <c r="AW58" s="1250"/>
      <c r="AX58" s="1246"/>
      <c r="AY58" s="1246"/>
      <c r="AZ58" s="1247"/>
      <c r="BA58" s="1248"/>
      <c r="BB58" s="1249"/>
      <c r="BC58" s="264" t="s">
        <v>473</v>
      </c>
    </row>
    <row r="59" spans="1:55" ht="33" customHeight="1">
      <c r="A59" s="1201" t="s">
        <v>476</v>
      </c>
      <c r="B59" s="3410" t="s">
        <v>477</v>
      </c>
      <c r="C59" s="3412"/>
      <c r="D59" s="44" t="s">
        <v>429</v>
      </c>
      <c r="E59" s="101" t="s">
        <v>472</v>
      </c>
      <c r="F59" s="1227">
        <v>15</v>
      </c>
      <c r="G59" s="1225">
        <f>R.HN!C41</f>
        <v>8.6999999999999993</v>
      </c>
      <c r="H59" s="1867">
        <v>15</v>
      </c>
      <c r="I59" s="1737">
        <f>($F$59-H59)*2700*3.33/1000</f>
        <v>0</v>
      </c>
      <c r="J59" s="1738" t="s">
        <v>8</v>
      </c>
      <c r="K59" s="1739">
        <f>IF(I59&lt;0,0,I59)</f>
        <v>0</v>
      </c>
      <c r="L59" s="1740" t="s">
        <v>9</v>
      </c>
      <c r="M59" s="87">
        <f>R.HN!D41</f>
        <v>0</v>
      </c>
      <c r="N59" s="1867">
        <f t="shared" si="0"/>
        <v>0</v>
      </c>
      <c r="O59" s="1737">
        <f>($F$59-N59)*2700*3.33/1000</f>
        <v>134.86500000000001</v>
      </c>
      <c r="P59" s="1738" t="s">
        <v>8</v>
      </c>
      <c r="Q59" s="1739">
        <f t="shared" si="1"/>
        <v>134.86500000000001</v>
      </c>
      <c r="R59" s="1740" t="s">
        <v>9</v>
      </c>
      <c r="S59" s="1269">
        <f>R.HN!E41</f>
        <v>0</v>
      </c>
      <c r="T59" s="2741">
        <f t="shared" si="2"/>
        <v>0</v>
      </c>
      <c r="U59" s="2741">
        <f>($F$59-T59)*2700*3.33/1000</f>
        <v>134.86500000000001</v>
      </c>
      <c r="V59" s="2741" t="s">
        <v>8</v>
      </c>
      <c r="W59" s="2741">
        <f t="shared" si="3"/>
        <v>134.86500000000001</v>
      </c>
      <c r="X59" s="2741" t="s">
        <v>9</v>
      </c>
      <c r="Y59" s="2741">
        <f>R.HN!F41</f>
        <v>0</v>
      </c>
      <c r="Z59" s="2741">
        <f t="shared" si="4"/>
        <v>0</v>
      </c>
      <c r="AA59" s="2741">
        <f>($F$59-Z59)*2700*3.33/1000</f>
        <v>134.86500000000001</v>
      </c>
      <c r="AB59" s="2741" t="s">
        <v>8</v>
      </c>
      <c r="AC59" s="2741">
        <f t="shared" si="5"/>
        <v>134.86500000000001</v>
      </c>
      <c r="AD59" s="2741" t="s">
        <v>9</v>
      </c>
      <c r="AE59" s="1250"/>
      <c r="AF59" s="2070">
        <f>'XM.FILE GOC'!BF8</f>
        <v>15.3</v>
      </c>
      <c r="AG59" s="2070">
        <f>'XM.FILE GOC'!BG8</f>
        <v>0</v>
      </c>
      <c r="AH59" s="1247"/>
      <c r="AI59" s="2071">
        <f t="shared" si="6"/>
        <v>15</v>
      </c>
      <c r="AJ59" s="2712"/>
      <c r="AK59" s="2713"/>
      <c r="AL59" s="2712"/>
      <c r="AM59" s="1246"/>
      <c r="AN59" s="1247"/>
      <c r="AO59" s="1248"/>
      <c r="AP59" s="1249"/>
      <c r="AQ59" s="1250"/>
      <c r="AR59" s="1246"/>
      <c r="AS59" s="1246"/>
      <c r="AT59" s="1247"/>
      <c r="AU59" s="1248"/>
      <c r="AV59" s="1249"/>
      <c r="AW59" s="1250"/>
      <c r="AX59" s="1246"/>
      <c r="AY59" s="1246"/>
      <c r="AZ59" s="1247"/>
      <c r="BA59" s="1248"/>
      <c r="BB59" s="1249"/>
      <c r="BC59" s="264" t="s">
        <v>473</v>
      </c>
    </row>
    <row r="60" spans="1:55" ht="35.25" customHeight="1">
      <c r="A60" s="1201" t="s">
        <v>478</v>
      </c>
      <c r="B60" s="3410" t="s">
        <v>479</v>
      </c>
      <c r="C60" s="3412"/>
      <c r="D60" s="44" t="s">
        <v>429</v>
      </c>
      <c r="E60" s="101" t="s">
        <v>1183</v>
      </c>
      <c r="F60" s="1227">
        <v>10</v>
      </c>
      <c r="G60" s="1225">
        <f>R.HN!C42</f>
        <v>0</v>
      </c>
      <c r="H60" s="1867">
        <v>10.1</v>
      </c>
      <c r="I60" s="1737">
        <f>($F$60-H60)*2160*5.77/1000</f>
        <v>-1.2463199999999954</v>
      </c>
      <c r="J60" s="1738" t="s">
        <v>8</v>
      </c>
      <c r="K60" s="1739">
        <f>IF(I60&lt;0,0,I60)</f>
        <v>0</v>
      </c>
      <c r="L60" s="1740" t="s">
        <v>10</v>
      </c>
      <c r="M60" s="87">
        <f>R.HN!D42</f>
        <v>0</v>
      </c>
      <c r="N60" s="1867">
        <f t="shared" si="0"/>
        <v>0</v>
      </c>
      <c r="O60" s="1737">
        <f>($F$60-N60)*2160*5.77/1000</f>
        <v>124.63199999999999</v>
      </c>
      <c r="P60" s="1738" t="s">
        <v>8</v>
      </c>
      <c r="Q60" s="1739">
        <f t="shared" si="1"/>
        <v>124.63199999999999</v>
      </c>
      <c r="R60" s="1740" t="s">
        <v>10</v>
      </c>
      <c r="S60" s="1269">
        <f>R.HN!E42</f>
        <v>0</v>
      </c>
      <c r="T60" s="2741">
        <f t="shared" si="2"/>
        <v>0</v>
      </c>
      <c r="U60" s="2741">
        <f>($F$60-T60)*2160*5.77/1000</f>
        <v>124.63199999999999</v>
      </c>
      <c r="V60" s="2741" t="s">
        <v>8</v>
      </c>
      <c r="W60" s="2741">
        <f t="shared" si="3"/>
        <v>124.63199999999999</v>
      </c>
      <c r="X60" s="2741" t="s">
        <v>10</v>
      </c>
      <c r="Y60" s="2741">
        <f>R.HN!F42</f>
        <v>0</v>
      </c>
      <c r="Z60" s="2741">
        <f t="shared" si="4"/>
        <v>0</v>
      </c>
      <c r="AA60" s="2741">
        <f>($F$60-Z60)*2160*5.77/1000</f>
        <v>124.63199999999999</v>
      </c>
      <c r="AB60" s="2741" t="s">
        <v>8</v>
      </c>
      <c r="AC60" s="2741">
        <f t="shared" si="5"/>
        <v>124.63199999999999</v>
      </c>
      <c r="AD60" s="2741" t="s">
        <v>10</v>
      </c>
      <c r="AE60" s="1250"/>
      <c r="AF60" s="2070">
        <f>'XM.FILE GOC'!BF9</f>
        <v>10.3</v>
      </c>
      <c r="AG60" s="2070">
        <f>'XM.FILE GOC'!BG9</f>
        <v>0</v>
      </c>
      <c r="AH60" s="1247"/>
      <c r="AI60" s="2071">
        <f t="shared" si="6"/>
        <v>10.1</v>
      </c>
      <c r="AJ60" s="2712"/>
      <c r="AK60" s="2713"/>
      <c r="AL60" s="2712"/>
      <c r="AM60" s="1246"/>
      <c r="AN60" s="1247"/>
      <c r="AO60" s="1248"/>
      <c r="AP60" s="1249"/>
      <c r="AQ60" s="1250"/>
      <c r="AR60" s="1246"/>
      <c r="AS60" s="1246"/>
      <c r="AT60" s="1247"/>
      <c r="AU60" s="1248"/>
      <c r="AV60" s="1249"/>
      <c r="AW60" s="1250"/>
      <c r="AX60" s="1246"/>
      <c r="AY60" s="1246"/>
      <c r="AZ60" s="1247"/>
      <c r="BA60" s="1248"/>
      <c r="BB60" s="1249"/>
      <c r="BC60" s="264" t="s">
        <v>473</v>
      </c>
    </row>
    <row r="61" spans="1:55" ht="38.25" customHeight="1">
      <c r="A61" s="1201" t="s">
        <v>480</v>
      </c>
      <c r="B61" s="3410" t="s">
        <v>481</v>
      </c>
      <c r="C61" s="3412"/>
      <c r="D61" s="44" t="s">
        <v>429</v>
      </c>
      <c r="E61" s="101" t="s">
        <v>482</v>
      </c>
      <c r="F61" s="1224">
        <v>1.5</v>
      </c>
      <c r="G61" s="1225">
        <f>R.HN!C43</f>
        <v>1.2</v>
      </c>
      <c r="H61" s="2366">
        <f t="shared" ref="H61:H63" si="7">G61</f>
        <v>1.2</v>
      </c>
      <c r="I61" s="1737">
        <f>(H61-$F$61)*2430*3.3/1000</f>
        <v>-2.4057000000000004</v>
      </c>
      <c r="J61" s="1738" t="s">
        <v>8</v>
      </c>
      <c r="K61" s="1866">
        <f>IF(I61&lt;0,0,I61)</f>
        <v>0</v>
      </c>
      <c r="L61" s="1740" t="s">
        <v>9</v>
      </c>
      <c r="M61" s="87">
        <f>R.HN!D43</f>
        <v>0</v>
      </c>
      <c r="N61" s="2366">
        <f t="shared" si="0"/>
        <v>0</v>
      </c>
      <c r="O61" s="1737">
        <f>(N61-$F$61)*2430*3.3/1000</f>
        <v>-12.028499999999999</v>
      </c>
      <c r="P61" s="1738" t="s">
        <v>8</v>
      </c>
      <c r="Q61" s="1866">
        <f t="shared" si="1"/>
        <v>0</v>
      </c>
      <c r="R61" s="1740" t="s">
        <v>9</v>
      </c>
      <c r="S61" s="1269">
        <f>R.HN!E43</f>
        <v>0</v>
      </c>
      <c r="T61" s="2741">
        <f t="shared" si="2"/>
        <v>0</v>
      </c>
      <c r="U61" s="2741">
        <f>(T61-$F$61)*2430*3.3/1000</f>
        <v>-12.028499999999999</v>
      </c>
      <c r="V61" s="2741" t="s">
        <v>8</v>
      </c>
      <c r="W61" s="2741">
        <f t="shared" si="3"/>
        <v>0</v>
      </c>
      <c r="X61" s="2741" t="s">
        <v>9</v>
      </c>
      <c r="Y61" s="2741">
        <f>R.HN!F43</f>
        <v>0</v>
      </c>
      <c r="Z61" s="2741">
        <f t="shared" si="4"/>
        <v>0</v>
      </c>
      <c r="AA61" s="2741">
        <f>(Z61-$F$61)*2430*3.3/1000</f>
        <v>-12.028499999999999</v>
      </c>
      <c r="AB61" s="2741" t="s">
        <v>8</v>
      </c>
      <c r="AC61" s="2741">
        <f t="shared" si="5"/>
        <v>0</v>
      </c>
      <c r="AD61" s="2741" t="s">
        <v>9</v>
      </c>
      <c r="AE61" s="1250"/>
      <c r="AF61" s="2070">
        <f>'XM.FILE GOC'!BF10</f>
        <v>1</v>
      </c>
      <c r="AG61" s="2070">
        <f>'XM.FILE GOC'!BG10</f>
        <v>0</v>
      </c>
      <c r="AH61" s="1247"/>
      <c r="AI61" s="2071">
        <f t="shared" si="6"/>
        <v>1.2</v>
      </c>
      <c r="AJ61" s="2712"/>
      <c r="AK61" s="2713"/>
      <c r="AL61" s="2712"/>
      <c r="AM61" s="1246"/>
      <c r="AN61" s="1247"/>
      <c r="AO61" s="1251"/>
      <c r="AP61" s="1249"/>
      <c r="AQ61" s="1250"/>
      <c r="AR61" s="1246"/>
      <c r="AS61" s="1246"/>
      <c r="AT61" s="1247"/>
      <c r="AU61" s="1251"/>
      <c r="AV61" s="1249"/>
      <c r="AW61" s="1250"/>
      <c r="AX61" s="1246"/>
      <c r="AY61" s="1246"/>
      <c r="AZ61" s="1247"/>
      <c r="BA61" s="1251"/>
      <c r="BB61" s="1249"/>
      <c r="BC61" s="264" t="s">
        <v>473</v>
      </c>
    </row>
    <row r="62" spans="1:55" ht="36.75" customHeight="1">
      <c r="A62" s="1201" t="s">
        <v>483</v>
      </c>
      <c r="B62" s="3410" t="s">
        <v>484</v>
      </c>
      <c r="C62" s="3412"/>
      <c r="D62" s="44" t="s">
        <v>429</v>
      </c>
      <c r="E62" s="101" t="s">
        <v>485</v>
      </c>
      <c r="F62" s="1227">
        <v>22</v>
      </c>
      <c r="G62" s="1225">
        <f>R.HN!C44</f>
        <v>23.5</v>
      </c>
      <c r="H62" s="1867">
        <f t="shared" si="7"/>
        <v>23.5</v>
      </c>
      <c r="I62" s="1737">
        <f>($F$62-H62)*2430*4/1000</f>
        <v>-14.58</v>
      </c>
      <c r="J62" s="1738" t="s">
        <v>8</v>
      </c>
      <c r="K62" s="1739">
        <f t="shared" ref="K62:K63" si="8">IF(I62&lt;0,0,I62)</f>
        <v>0</v>
      </c>
      <c r="L62" s="1740" t="s">
        <v>9</v>
      </c>
      <c r="M62" s="87">
        <f>R.HN!D44</f>
        <v>0</v>
      </c>
      <c r="N62" s="1867">
        <f t="shared" si="0"/>
        <v>0</v>
      </c>
      <c r="O62" s="1737">
        <f>($F$62-N62)*2430*4/1000</f>
        <v>213.84</v>
      </c>
      <c r="P62" s="1738" t="s">
        <v>8</v>
      </c>
      <c r="Q62" s="1739">
        <f t="shared" si="1"/>
        <v>213.84</v>
      </c>
      <c r="R62" s="1740" t="s">
        <v>9</v>
      </c>
      <c r="S62" s="1269">
        <f>R.HN!E44</f>
        <v>0</v>
      </c>
      <c r="T62" s="2741">
        <f t="shared" si="2"/>
        <v>0</v>
      </c>
      <c r="U62" s="2741">
        <f>($F$62-T62)*2430*4/1000</f>
        <v>213.84</v>
      </c>
      <c r="V62" s="2741" t="s">
        <v>8</v>
      </c>
      <c r="W62" s="2741">
        <f t="shared" si="3"/>
        <v>213.84</v>
      </c>
      <c r="X62" s="2741" t="s">
        <v>9</v>
      </c>
      <c r="Y62" s="2741">
        <f>R.HN!F44</f>
        <v>0</v>
      </c>
      <c r="Z62" s="2741">
        <f t="shared" si="4"/>
        <v>0</v>
      </c>
      <c r="AA62" s="2741">
        <f>($F$62-Z62)*2430*4/1000</f>
        <v>213.84</v>
      </c>
      <c r="AB62" s="2741" t="s">
        <v>8</v>
      </c>
      <c r="AC62" s="2741">
        <f t="shared" si="5"/>
        <v>213.84</v>
      </c>
      <c r="AD62" s="2741" t="s">
        <v>9</v>
      </c>
      <c r="AE62" s="1250"/>
      <c r="AF62" s="2070">
        <f>'XM.FILE GOC'!BF11</f>
        <v>23</v>
      </c>
      <c r="AG62" s="2070">
        <f>'XM.FILE GOC'!BG11</f>
        <v>0</v>
      </c>
      <c r="AH62" s="1247"/>
      <c r="AI62" s="2071">
        <f t="shared" si="6"/>
        <v>23.5</v>
      </c>
      <c r="AJ62" s="2712"/>
      <c r="AK62" s="2713"/>
      <c r="AL62" s="2712"/>
      <c r="AM62" s="1246"/>
      <c r="AN62" s="1247"/>
      <c r="AO62" s="1248"/>
      <c r="AP62" s="1249"/>
      <c r="AQ62" s="1250"/>
      <c r="AR62" s="1246"/>
      <c r="AS62" s="1246"/>
      <c r="AT62" s="1247"/>
      <c r="AU62" s="1248"/>
      <c r="AV62" s="1249"/>
      <c r="AW62" s="1250"/>
      <c r="AX62" s="1246"/>
      <c r="AY62" s="1246"/>
      <c r="AZ62" s="1247"/>
      <c r="BA62" s="1248"/>
      <c r="BB62" s="1249"/>
      <c r="BC62" s="264" t="s">
        <v>473</v>
      </c>
    </row>
    <row r="63" spans="1:55" ht="34.5" customHeight="1">
      <c r="A63" s="1201" t="s">
        <v>486</v>
      </c>
      <c r="B63" s="3410" t="s">
        <v>487</v>
      </c>
      <c r="C63" s="3412"/>
      <c r="D63" s="44" t="s">
        <v>429</v>
      </c>
      <c r="E63" s="428" t="s">
        <v>488</v>
      </c>
      <c r="F63" s="1224">
        <v>7.5</v>
      </c>
      <c r="G63" s="1225">
        <f>R.HN!C45</f>
        <v>7.5</v>
      </c>
      <c r="H63" s="1867">
        <f t="shared" si="7"/>
        <v>7.5</v>
      </c>
      <c r="I63" s="1737">
        <f>($F$63-H63)*2430*0.43/1000</f>
        <v>0</v>
      </c>
      <c r="J63" s="1738" t="s">
        <v>8</v>
      </c>
      <c r="K63" s="1866">
        <f t="shared" si="8"/>
        <v>0</v>
      </c>
      <c r="L63" s="1740" t="s">
        <v>9</v>
      </c>
      <c r="M63" s="87">
        <f>R.HN!D45</f>
        <v>0</v>
      </c>
      <c r="N63" s="1867">
        <f t="shared" si="0"/>
        <v>0</v>
      </c>
      <c r="O63" s="1737">
        <f>($F$63-N63)*2430*0.43/1000</f>
        <v>7.8367500000000003</v>
      </c>
      <c r="P63" s="1738" t="s">
        <v>8</v>
      </c>
      <c r="Q63" s="1866">
        <f t="shared" si="1"/>
        <v>7.8367500000000003</v>
      </c>
      <c r="R63" s="1740" t="s">
        <v>9</v>
      </c>
      <c r="S63" s="1269">
        <f>R.HN!E45</f>
        <v>0</v>
      </c>
      <c r="T63" s="2741">
        <f t="shared" si="2"/>
        <v>0</v>
      </c>
      <c r="U63" s="2741">
        <f>($F$63-T63)*2430*0.43/1000</f>
        <v>7.8367500000000003</v>
      </c>
      <c r="V63" s="2741" t="s">
        <v>8</v>
      </c>
      <c r="W63" s="2741">
        <f t="shared" si="3"/>
        <v>7.8367500000000003</v>
      </c>
      <c r="X63" s="2741" t="s">
        <v>9</v>
      </c>
      <c r="Y63" s="2741">
        <f>R.HN!F45</f>
        <v>0</v>
      </c>
      <c r="Z63" s="2741">
        <f t="shared" si="4"/>
        <v>0</v>
      </c>
      <c r="AA63" s="2741">
        <f>($F$63-Z63)*2430*0.43/1000</f>
        <v>7.8367500000000003</v>
      </c>
      <c r="AB63" s="2741" t="s">
        <v>8</v>
      </c>
      <c r="AC63" s="2741">
        <f t="shared" si="5"/>
        <v>7.8367500000000003</v>
      </c>
      <c r="AD63" s="2741" t="s">
        <v>9</v>
      </c>
      <c r="AE63" s="1250"/>
      <c r="AF63" s="2070">
        <f>'XM.FILE GOC'!BF12</f>
        <v>7.5</v>
      </c>
      <c r="AG63" s="2070">
        <f>'XM.FILE GOC'!BG12</f>
        <v>0</v>
      </c>
      <c r="AH63" s="1247"/>
      <c r="AI63" s="2071">
        <f t="shared" si="6"/>
        <v>7.5</v>
      </c>
      <c r="AJ63" s="2712"/>
      <c r="AK63" s="2713"/>
      <c r="AL63" s="2712"/>
      <c r="AM63" s="1246"/>
      <c r="AN63" s="1247"/>
      <c r="AO63" s="1251"/>
      <c r="AP63" s="1249"/>
      <c r="AQ63" s="1250"/>
      <c r="AR63" s="1246"/>
      <c r="AS63" s="1246"/>
      <c r="AT63" s="1247"/>
      <c r="AU63" s="1251"/>
      <c r="AV63" s="1249"/>
      <c r="AW63" s="1250"/>
      <c r="AX63" s="1246"/>
      <c r="AY63" s="1246"/>
      <c r="AZ63" s="1247"/>
      <c r="BA63" s="1251"/>
      <c r="BB63" s="1249"/>
      <c r="BC63" s="264" t="s">
        <v>473</v>
      </c>
    </row>
    <row r="64" spans="1:55" ht="36.75" customHeight="1">
      <c r="A64" s="1201" t="s">
        <v>489</v>
      </c>
      <c r="B64" s="3410" t="s">
        <v>490</v>
      </c>
      <c r="C64" s="3412"/>
      <c r="D64" s="44" t="s">
        <v>5</v>
      </c>
      <c r="E64" s="101" t="s">
        <v>491</v>
      </c>
      <c r="F64" s="1252"/>
      <c r="G64" s="1225"/>
      <c r="H64" s="1867">
        <f>R.HN!C46</f>
        <v>7.3</v>
      </c>
      <c r="I64" s="1737"/>
      <c r="J64" s="1738"/>
      <c r="K64" s="1866"/>
      <c r="L64" s="1740"/>
      <c r="M64" s="87"/>
      <c r="N64" s="1867">
        <f>R.HN!D46</f>
        <v>0</v>
      </c>
      <c r="O64" s="1737"/>
      <c r="P64" s="1738"/>
      <c r="Q64" s="1866"/>
      <c r="R64" s="1740"/>
      <c r="S64" s="1269"/>
      <c r="T64" s="2741">
        <f>R.HN!E46</f>
        <v>0</v>
      </c>
      <c r="U64" s="2741"/>
      <c r="V64" s="2741"/>
      <c r="W64" s="2741"/>
      <c r="X64" s="2741"/>
      <c r="Y64" s="2741"/>
      <c r="Z64" s="2741">
        <f>R.HN!F46</f>
        <v>0</v>
      </c>
      <c r="AA64" s="2741"/>
      <c r="AB64" s="2741"/>
      <c r="AC64" s="2741"/>
      <c r="AD64" s="2741"/>
      <c r="AE64" s="1250"/>
      <c r="AF64" s="2070">
        <f>'XM.FILE GOC'!BF13</f>
        <v>7.3</v>
      </c>
      <c r="AG64" s="2070">
        <f>'XM.FILE GOC'!BG13</f>
        <v>0</v>
      </c>
      <c r="AH64" s="1247"/>
      <c r="AI64" s="2071">
        <f t="shared" si="6"/>
        <v>7.3</v>
      </c>
      <c r="AJ64" s="2712"/>
      <c r="AK64" s="2713"/>
      <c r="AL64" s="2712"/>
      <c r="AM64" s="1246"/>
      <c r="AN64" s="1247"/>
      <c r="AO64" s="1251"/>
      <c r="AP64" s="1249"/>
      <c r="AQ64" s="1250"/>
      <c r="AR64" s="1246"/>
      <c r="AS64" s="1246"/>
      <c r="AT64" s="1247"/>
      <c r="AU64" s="1251"/>
      <c r="AV64" s="1249"/>
      <c r="AW64" s="1250"/>
      <c r="AX64" s="1246"/>
      <c r="AY64" s="1246"/>
      <c r="AZ64" s="1247"/>
      <c r="BA64" s="1251"/>
      <c r="BB64" s="1249"/>
      <c r="BC64" s="264" t="s">
        <v>473</v>
      </c>
    </row>
    <row r="65" spans="1:55" ht="34.5" customHeight="1">
      <c r="A65" s="1201" t="s">
        <v>492</v>
      </c>
      <c r="B65" s="3410" t="s">
        <v>493</v>
      </c>
      <c r="C65" s="3412"/>
      <c r="D65" s="44" t="s">
        <v>5</v>
      </c>
      <c r="E65" s="428" t="s">
        <v>494</v>
      </c>
      <c r="F65" s="1224"/>
      <c r="G65" s="1225"/>
      <c r="H65" s="1867">
        <f>R.HN!C47</f>
        <v>5.4</v>
      </c>
      <c r="I65" s="1737"/>
      <c r="J65" s="1738"/>
      <c r="K65" s="1866"/>
      <c r="L65" s="1740"/>
      <c r="M65" s="87"/>
      <c r="N65" s="1867">
        <f>R.HN!D47</f>
        <v>0</v>
      </c>
      <c r="O65" s="1737"/>
      <c r="P65" s="1738"/>
      <c r="Q65" s="1866"/>
      <c r="R65" s="1740"/>
      <c r="S65" s="1269"/>
      <c r="T65" s="2741">
        <f>R.HN!E47</f>
        <v>0</v>
      </c>
      <c r="U65" s="2741"/>
      <c r="V65" s="2741"/>
      <c r="W65" s="2741"/>
      <c r="X65" s="2741"/>
      <c r="Y65" s="2741"/>
      <c r="Z65" s="2741">
        <f>R.HN!F47</f>
        <v>0</v>
      </c>
      <c r="AA65" s="2741"/>
      <c r="AB65" s="2741"/>
      <c r="AC65" s="2741"/>
      <c r="AD65" s="2741"/>
      <c r="AE65" s="1250"/>
      <c r="AF65" s="2070">
        <f>'XM.FILE GOC'!BF14</f>
        <v>5.4</v>
      </c>
      <c r="AG65" s="2070">
        <f>'XM.FILE GOC'!BG14</f>
        <v>0</v>
      </c>
      <c r="AH65" s="1247"/>
      <c r="AI65" s="2071">
        <f t="shared" si="6"/>
        <v>5.4</v>
      </c>
      <c r="AJ65" s="2712"/>
      <c r="AK65" s="2713"/>
      <c r="AL65" s="2712"/>
      <c r="AM65" s="1246"/>
      <c r="AN65" s="1247"/>
      <c r="AO65" s="1251"/>
      <c r="AP65" s="1249"/>
      <c r="AQ65" s="1250"/>
      <c r="AR65" s="1246"/>
      <c r="AS65" s="1246"/>
      <c r="AT65" s="1247"/>
      <c r="AU65" s="1251"/>
      <c r="AV65" s="1249"/>
      <c r="AW65" s="1250"/>
      <c r="AX65" s="1246"/>
      <c r="AY65" s="1246"/>
      <c r="AZ65" s="1247"/>
      <c r="BA65" s="1251"/>
      <c r="BB65" s="1249"/>
      <c r="BC65" s="264" t="s">
        <v>473</v>
      </c>
    </row>
    <row r="66" spans="1:55" ht="34.5" hidden="1" customHeight="1">
      <c r="A66" s="1201" t="s">
        <v>495</v>
      </c>
      <c r="B66" s="3410" t="s">
        <v>496</v>
      </c>
      <c r="C66" s="3412"/>
      <c r="D66" s="44" t="s">
        <v>5</v>
      </c>
      <c r="E66" s="428" t="s">
        <v>494</v>
      </c>
      <c r="F66" s="1224"/>
      <c r="G66" s="1225"/>
      <c r="H66" s="1867">
        <f>R.HN!C48</f>
        <v>0</v>
      </c>
      <c r="I66" s="1737"/>
      <c r="J66" s="1738"/>
      <c r="K66" s="1866"/>
      <c r="L66" s="1740"/>
      <c r="M66" s="87"/>
      <c r="N66" s="1867">
        <f>R.HN!D48</f>
        <v>0</v>
      </c>
      <c r="O66" s="1737"/>
      <c r="P66" s="1738"/>
      <c r="Q66" s="1866"/>
      <c r="R66" s="1740"/>
      <c r="S66" s="1269"/>
      <c r="T66" s="2741">
        <f>R.HN!J48</f>
        <v>0</v>
      </c>
      <c r="U66" s="2741"/>
      <c r="V66" s="2741"/>
      <c r="W66" s="2741"/>
      <c r="X66" s="2741"/>
      <c r="Y66" s="2741"/>
      <c r="Z66" s="2741">
        <f>R.HN!P48</f>
        <v>0</v>
      </c>
      <c r="AA66" s="2741"/>
      <c r="AB66" s="2741"/>
      <c r="AC66" s="2741"/>
      <c r="AD66" s="2741"/>
      <c r="AE66" s="1250"/>
      <c r="AF66" s="2070">
        <f>'XM.FILE GOC'!BF15</f>
        <v>0</v>
      </c>
      <c r="AG66" s="2070">
        <f>'XM.FILE GOC'!BG15</f>
        <v>0</v>
      </c>
      <c r="AH66" s="1247"/>
      <c r="AI66" s="2071">
        <f t="shared" si="6"/>
        <v>0</v>
      </c>
      <c r="AJ66" s="2712"/>
      <c r="AK66" s="2713"/>
      <c r="AL66" s="2712"/>
      <c r="AM66" s="1246"/>
      <c r="AN66" s="1247"/>
      <c r="AO66" s="1251"/>
      <c r="AP66" s="1249"/>
      <c r="AQ66" s="1250"/>
      <c r="AR66" s="1246"/>
      <c r="AS66" s="1246"/>
      <c r="AT66" s="1247"/>
      <c r="AU66" s="1251"/>
      <c r="AV66" s="1249"/>
      <c r="AW66" s="1250"/>
      <c r="AX66" s="1246"/>
      <c r="AY66" s="1246"/>
      <c r="AZ66" s="1247"/>
      <c r="BA66" s="1251"/>
      <c r="BB66" s="1249"/>
      <c r="BC66" s="264" t="s">
        <v>473</v>
      </c>
    </row>
    <row r="67" spans="1:55" ht="34.5" customHeight="1">
      <c r="A67" s="1201" t="s">
        <v>497</v>
      </c>
      <c r="B67" s="3410" t="s">
        <v>371</v>
      </c>
      <c r="C67" s="3412"/>
      <c r="D67" s="44" t="s">
        <v>3</v>
      </c>
      <c r="E67" s="428" t="s">
        <v>372</v>
      </c>
      <c r="F67" s="1253">
        <v>15</v>
      </c>
      <c r="G67" s="1225"/>
      <c r="H67" s="2367">
        <f>IFERROR('ED-XI DEN'!L15*100,"")</f>
        <v>15.035953785246829</v>
      </c>
      <c r="I67" s="1737">
        <f>($F$67-H67)*2295/100</f>
        <v>-0.82513937141471572</v>
      </c>
      <c r="J67" s="1738" t="s">
        <v>8</v>
      </c>
      <c r="K67" s="1866">
        <f>IFERROR(IF(I67&lt;0,0,I67),"")</f>
        <v>0</v>
      </c>
      <c r="L67" s="1740" t="s">
        <v>10</v>
      </c>
      <c r="M67" s="87"/>
      <c r="N67" s="2370" t="s">
        <v>1184</v>
      </c>
      <c r="O67" s="1737"/>
      <c r="P67" s="1738"/>
      <c r="Q67" s="1866"/>
      <c r="R67" s="1740"/>
      <c r="S67" s="1269"/>
      <c r="T67" s="2741" t="s">
        <v>46</v>
      </c>
      <c r="U67" s="2741"/>
      <c r="V67" s="2741"/>
      <c r="W67" s="2741"/>
      <c r="X67" s="2741"/>
      <c r="Y67" s="2741"/>
      <c r="Z67" s="2741" t="s">
        <v>46</v>
      </c>
      <c r="AA67" s="2741"/>
      <c r="AB67" s="2741"/>
      <c r="AC67" s="2741"/>
      <c r="AD67" s="2741"/>
      <c r="AE67" s="1250"/>
      <c r="AF67" s="2070">
        <f>'XM.FILE GOC'!BF16</f>
        <v>15.04823151125402</v>
      </c>
      <c r="AG67" s="2070">
        <f>'XM.FILE GOC'!BG16</f>
        <v>0</v>
      </c>
      <c r="AH67" s="1247"/>
      <c r="AI67" s="2071">
        <f t="shared" si="6"/>
        <v>15.035953785246829</v>
      </c>
      <c r="AJ67" s="2712"/>
      <c r="AK67" s="2713"/>
      <c r="AL67" s="2712"/>
      <c r="AM67" s="1246"/>
      <c r="AN67" s="1247"/>
      <c r="AO67" s="1251"/>
      <c r="AP67" s="1249"/>
      <c r="AQ67" s="1250"/>
      <c r="AR67" s="1246"/>
      <c r="AS67" s="1246"/>
      <c r="AT67" s="1247"/>
      <c r="AU67" s="1251"/>
      <c r="AV67" s="1249"/>
      <c r="AW67" s="1250"/>
      <c r="AX67" s="1246"/>
      <c r="AY67" s="1246"/>
      <c r="AZ67" s="1247"/>
      <c r="BA67" s="1251"/>
      <c r="BB67" s="1249"/>
      <c r="BC67" s="264" t="s">
        <v>473</v>
      </c>
    </row>
    <row r="68" spans="1:55" ht="34.5" customHeight="1">
      <c r="A68" s="1201" t="s">
        <v>498</v>
      </c>
      <c r="B68" s="3410" t="s">
        <v>373</v>
      </c>
      <c r="C68" s="3412"/>
      <c r="D68" s="44" t="s">
        <v>3</v>
      </c>
      <c r="E68" s="428" t="s">
        <v>374</v>
      </c>
      <c r="F68" s="1253">
        <v>12</v>
      </c>
      <c r="G68" s="1225"/>
      <c r="H68" s="2367">
        <v>12.3</v>
      </c>
      <c r="I68" s="1737">
        <f>($F$68-H68)*2295/100</f>
        <v>-6.8850000000000158</v>
      </c>
      <c r="J68" s="1738" t="s">
        <v>8</v>
      </c>
      <c r="K68" s="1866">
        <f>IFERROR(IF(I68&lt;0,0,I68),"")</f>
        <v>0</v>
      </c>
      <c r="L68" s="1740" t="s">
        <v>10</v>
      </c>
      <c r="M68" s="87"/>
      <c r="N68" s="2370" t="s">
        <v>1184</v>
      </c>
      <c r="O68" s="1737"/>
      <c r="P68" s="1738"/>
      <c r="Q68" s="1866"/>
      <c r="R68" s="1740"/>
      <c r="S68" s="1269"/>
      <c r="T68" s="2741" t="s">
        <v>46</v>
      </c>
      <c r="U68" s="2741"/>
      <c r="V68" s="2741"/>
      <c r="W68" s="2741"/>
      <c r="X68" s="2741"/>
      <c r="Y68" s="2741"/>
      <c r="Z68" s="2741" t="s">
        <v>46</v>
      </c>
      <c r="AA68" s="2741"/>
      <c r="AB68" s="2741"/>
      <c r="AC68" s="2741"/>
      <c r="AD68" s="2741"/>
      <c r="AE68" s="1250"/>
      <c r="AF68" s="2070">
        <f>'XM.FILE GOC'!BF17</f>
        <v>12.1</v>
      </c>
      <c r="AG68" s="2070">
        <f>'XM.FILE GOC'!BG17</f>
        <v>0</v>
      </c>
      <c r="AH68" s="1247"/>
      <c r="AI68" s="2071">
        <f t="shared" si="6"/>
        <v>12.3</v>
      </c>
      <c r="AJ68" s="2712"/>
      <c r="AK68" s="2713"/>
      <c r="AL68" s="2712"/>
      <c r="AM68" s="1246"/>
      <c r="AN68" s="1247"/>
      <c r="AO68" s="1251"/>
      <c r="AP68" s="1249"/>
      <c r="AQ68" s="1250"/>
      <c r="AR68" s="1246"/>
      <c r="AS68" s="1246"/>
      <c r="AT68" s="1247"/>
      <c r="AU68" s="1251"/>
      <c r="AV68" s="1249"/>
      <c r="AW68" s="1250"/>
      <c r="AX68" s="1246"/>
      <c r="AY68" s="1246"/>
      <c r="AZ68" s="1247"/>
      <c r="BA68" s="1251"/>
      <c r="BB68" s="1249"/>
      <c r="BC68" s="264" t="s">
        <v>473</v>
      </c>
    </row>
    <row r="69" spans="1:55" ht="34.5" hidden="1" customHeight="1">
      <c r="A69" s="1201" t="s">
        <v>499</v>
      </c>
      <c r="B69" s="3410" t="s">
        <v>375</v>
      </c>
      <c r="C69" s="3412"/>
      <c r="D69" s="44" t="s">
        <v>3</v>
      </c>
      <c r="E69" s="428" t="s">
        <v>372</v>
      </c>
      <c r="F69" s="1253">
        <v>15</v>
      </c>
      <c r="G69" s="1225"/>
      <c r="H69" s="2368" t="str">
        <f>IFERROR('ED-XI DEN'!L17*100,"")</f>
        <v/>
      </c>
      <c r="I69" s="1737" t="e">
        <f>($F$69-H69)*2295/100</f>
        <v>#VALUE!</v>
      </c>
      <c r="J69" s="1738" t="s">
        <v>8</v>
      </c>
      <c r="K69" s="1866" t="str">
        <f t="shared" ref="K69:K70" si="9">IFERROR(IF(I69&lt;0,0,I69),"")</f>
        <v/>
      </c>
      <c r="L69" s="1740" t="s">
        <v>10</v>
      </c>
      <c r="M69" s="87"/>
      <c r="N69" s="2370" t="s">
        <v>1184</v>
      </c>
      <c r="O69" s="1737"/>
      <c r="P69" s="1738"/>
      <c r="Q69" s="1866"/>
      <c r="R69" s="1740"/>
      <c r="S69" s="1269"/>
      <c r="T69" s="2741" t="s">
        <v>46</v>
      </c>
      <c r="U69" s="2741"/>
      <c r="V69" s="2741"/>
      <c r="W69" s="2741"/>
      <c r="X69" s="2741"/>
      <c r="Y69" s="2741"/>
      <c r="Z69" s="2741" t="s">
        <v>46</v>
      </c>
      <c r="AA69" s="2741"/>
      <c r="AB69" s="2741"/>
      <c r="AC69" s="2741"/>
      <c r="AD69" s="2741"/>
      <c r="AE69" s="1250"/>
      <c r="AF69" s="2070" t="str">
        <f>'XM.FILE GOC'!BF18</f>
        <v/>
      </c>
      <c r="AG69" s="2070">
        <f>'XM.FILE GOC'!BG18</f>
        <v>0</v>
      </c>
      <c r="AH69" s="1247"/>
      <c r="AI69" s="2071" t="str">
        <f t="shared" si="6"/>
        <v/>
      </c>
      <c r="AJ69" s="2712"/>
      <c r="AK69" s="2713"/>
      <c r="AL69" s="2712"/>
      <c r="AM69" s="1246"/>
      <c r="AN69" s="1247"/>
      <c r="AO69" s="1251"/>
      <c r="AP69" s="1249"/>
      <c r="AQ69" s="1250"/>
      <c r="AR69" s="1246"/>
      <c r="AS69" s="1246"/>
      <c r="AT69" s="1247"/>
      <c r="AU69" s="1251"/>
      <c r="AV69" s="1249"/>
      <c r="AW69" s="1250"/>
      <c r="AX69" s="1246"/>
      <c r="AY69" s="1246"/>
      <c r="AZ69" s="1247"/>
      <c r="BA69" s="1251"/>
      <c r="BB69" s="1249"/>
      <c r="BC69" s="264" t="s">
        <v>473</v>
      </c>
    </row>
    <row r="70" spans="1:55" ht="34.5" hidden="1" customHeight="1">
      <c r="A70" s="1201" t="s">
        <v>500</v>
      </c>
      <c r="B70" s="3410" t="s">
        <v>376</v>
      </c>
      <c r="C70" s="3412"/>
      <c r="D70" s="44" t="s">
        <v>3</v>
      </c>
      <c r="E70" s="428" t="s">
        <v>374</v>
      </c>
      <c r="F70" s="1253">
        <v>12</v>
      </c>
      <c r="G70" s="1225"/>
      <c r="H70" s="2368" t="str">
        <f>IFERROR('ED-XI DEN'!L18*100,"")</f>
        <v/>
      </c>
      <c r="I70" s="1737" t="e">
        <f>($F$70-H70)*2295/100</f>
        <v>#VALUE!</v>
      </c>
      <c r="J70" s="1738" t="s">
        <v>8</v>
      </c>
      <c r="K70" s="1866" t="str">
        <f t="shared" si="9"/>
        <v/>
      </c>
      <c r="L70" s="1740" t="s">
        <v>10</v>
      </c>
      <c r="M70" s="87"/>
      <c r="N70" s="2370" t="s">
        <v>1184</v>
      </c>
      <c r="O70" s="1737"/>
      <c r="P70" s="1738"/>
      <c r="Q70" s="1866"/>
      <c r="R70" s="1740"/>
      <c r="S70" s="1269"/>
      <c r="T70" s="2741" t="s">
        <v>46</v>
      </c>
      <c r="U70" s="2741"/>
      <c r="V70" s="2741"/>
      <c r="W70" s="2741"/>
      <c r="X70" s="2741"/>
      <c r="Y70" s="2741"/>
      <c r="Z70" s="2741" t="s">
        <v>46</v>
      </c>
      <c r="AA70" s="2741"/>
      <c r="AB70" s="2741"/>
      <c r="AC70" s="2741"/>
      <c r="AD70" s="2741"/>
      <c r="AE70" s="1250"/>
      <c r="AF70" s="2070" t="str">
        <f>'XM.FILE GOC'!BF19</f>
        <v/>
      </c>
      <c r="AG70" s="2070">
        <f>'XM.FILE GOC'!BG19</f>
        <v>0</v>
      </c>
      <c r="AH70" s="1247"/>
      <c r="AI70" s="2071" t="str">
        <f t="shared" si="6"/>
        <v/>
      </c>
      <c r="AJ70" s="2712"/>
      <c r="AK70" s="2713"/>
      <c r="AL70" s="2712"/>
      <c r="AM70" s="1246"/>
      <c r="AN70" s="1247"/>
      <c r="AO70" s="1251"/>
      <c r="AP70" s="1249"/>
      <c r="AQ70" s="1250"/>
      <c r="AR70" s="1246"/>
      <c r="AS70" s="1246"/>
      <c r="AT70" s="1247"/>
      <c r="AU70" s="1251"/>
      <c r="AV70" s="1249"/>
      <c r="AW70" s="1250"/>
      <c r="AX70" s="1246"/>
      <c r="AY70" s="1246"/>
      <c r="AZ70" s="1247"/>
      <c r="BA70" s="1251"/>
      <c r="BB70" s="1249"/>
      <c r="BC70" s="264" t="s">
        <v>473</v>
      </c>
    </row>
    <row r="71" spans="1:55" ht="34.5" customHeight="1">
      <c r="A71" s="1201" t="s">
        <v>501</v>
      </c>
      <c r="B71" s="3410" t="s">
        <v>377</v>
      </c>
      <c r="C71" s="3412"/>
      <c r="D71" s="44" t="s">
        <v>3</v>
      </c>
      <c r="E71" s="101" t="s">
        <v>378</v>
      </c>
      <c r="F71" s="1254"/>
      <c r="G71" s="1255"/>
      <c r="H71" s="2369">
        <f>IFERROR('ED-XI DEN'!L19*100,"")</f>
        <v>0.43407043407043394</v>
      </c>
      <c r="I71" s="1737"/>
      <c r="J71" s="1738"/>
      <c r="K71" s="1866"/>
      <c r="L71" s="1740"/>
      <c r="M71" s="87">
        <f>R.HN!D49</f>
        <v>0</v>
      </c>
      <c r="N71" s="2370" t="s">
        <v>1185</v>
      </c>
      <c r="O71" s="1737"/>
      <c r="P71" s="1738"/>
      <c r="Q71" s="1866"/>
      <c r="R71" s="1740"/>
      <c r="S71" s="1269"/>
      <c r="T71" s="2741" t="s">
        <v>46</v>
      </c>
      <c r="U71" s="2741"/>
      <c r="V71" s="2741"/>
      <c r="W71" s="2741"/>
      <c r="X71" s="2741"/>
      <c r="Y71" s="2741"/>
      <c r="Z71" s="2741" t="s">
        <v>46</v>
      </c>
      <c r="AA71" s="2741"/>
      <c r="AB71" s="2741"/>
      <c r="AC71" s="2741"/>
      <c r="AD71" s="2741"/>
      <c r="AE71" s="1250"/>
      <c r="AF71" s="2070">
        <f>'XM.FILE GOC'!BF20</f>
        <v>0.57232913072329272</v>
      </c>
      <c r="AG71" s="2070">
        <f>'XM.FILE GOC'!BG20</f>
        <v>0</v>
      </c>
      <c r="AH71" s="1247"/>
      <c r="AI71" s="2071">
        <f t="shared" si="6"/>
        <v>0.43407043407043394</v>
      </c>
      <c r="AJ71" s="2712"/>
      <c r="AK71" s="2713"/>
      <c r="AL71" s="2712"/>
      <c r="AM71" s="1246"/>
      <c r="AN71" s="1247"/>
      <c r="AO71" s="1251"/>
      <c r="AP71" s="1249"/>
      <c r="AQ71" s="1250"/>
      <c r="AR71" s="1246"/>
      <c r="AS71" s="1246"/>
      <c r="AT71" s="1247"/>
      <c r="AU71" s="1251"/>
      <c r="AV71" s="1249"/>
      <c r="AW71" s="1250"/>
      <c r="AX71" s="1246"/>
      <c r="AY71" s="1246"/>
      <c r="AZ71" s="1247"/>
      <c r="BA71" s="1251"/>
      <c r="BB71" s="1249"/>
      <c r="BC71" s="264" t="s">
        <v>473</v>
      </c>
    </row>
    <row r="72" spans="1:55" ht="34.5" customHeight="1">
      <c r="A72" s="1201" t="s">
        <v>502</v>
      </c>
      <c r="B72" s="3410" t="s">
        <v>380</v>
      </c>
      <c r="C72" s="3412"/>
      <c r="D72" s="44" t="s">
        <v>3</v>
      </c>
      <c r="E72" s="101" t="s">
        <v>381</v>
      </c>
      <c r="F72" s="1254"/>
      <c r="G72" s="1255"/>
      <c r="H72" s="2369">
        <f>IFERROR('ED-XI DEN'!L20*100,"")</f>
        <v>0.26837996096291455</v>
      </c>
      <c r="I72" s="1737"/>
      <c r="J72" s="1738"/>
      <c r="K72" s="1866"/>
      <c r="L72" s="1740"/>
      <c r="M72" s="87">
        <f>R.HN!D50</f>
        <v>0.875</v>
      </c>
      <c r="N72" s="2370" t="s">
        <v>1185</v>
      </c>
      <c r="O72" s="1737"/>
      <c r="P72" s="1738"/>
      <c r="Q72" s="1866"/>
      <c r="R72" s="1740"/>
      <c r="S72" s="1269"/>
      <c r="T72" s="2741" t="s">
        <v>46</v>
      </c>
      <c r="U72" s="2741"/>
      <c r="V72" s="2741"/>
      <c r="W72" s="2741"/>
      <c r="X72" s="2741"/>
      <c r="Y72" s="2741"/>
      <c r="Z72" s="2741" t="s">
        <v>46</v>
      </c>
      <c r="AA72" s="2741"/>
      <c r="AB72" s="2741"/>
      <c r="AC72" s="2741"/>
      <c r="AD72" s="2741"/>
      <c r="AE72" s="1250"/>
      <c r="AF72" s="2070">
        <f>'XM.FILE GOC'!BF21</f>
        <v>0.36169208995125185</v>
      </c>
      <c r="AG72" s="2070">
        <f>'XM.FILE GOC'!BG21</f>
        <v>0</v>
      </c>
      <c r="AH72" s="1247"/>
      <c r="AI72" s="2071">
        <f t="shared" si="6"/>
        <v>0.26837996096291455</v>
      </c>
      <c r="AJ72" s="2712"/>
      <c r="AK72" s="2713"/>
      <c r="AL72" s="2712"/>
      <c r="AM72" s="1246"/>
      <c r="AN72" s="1247"/>
      <c r="AO72" s="1251"/>
      <c r="AP72" s="1249"/>
      <c r="AQ72" s="1250"/>
      <c r="AR72" s="1246"/>
      <c r="AS72" s="1246"/>
      <c r="AT72" s="1247"/>
      <c r="AU72" s="1251"/>
      <c r="AV72" s="1249"/>
      <c r="AW72" s="1250"/>
      <c r="AX72" s="1246"/>
      <c r="AY72" s="1246"/>
      <c r="AZ72" s="1247"/>
      <c r="BA72" s="1251"/>
      <c r="BB72" s="1249"/>
      <c r="BC72" s="264" t="s">
        <v>473</v>
      </c>
    </row>
    <row r="73" spans="1:55" ht="33" customHeight="1">
      <c r="A73" s="284" t="s">
        <v>72</v>
      </c>
      <c r="B73" s="285"/>
      <c r="C73" s="285"/>
      <c r="D73" s="285"/>
      <c r="E73" s="282"/>
      <c r="F73" s="285"/>
      <c r="G73" s="285"/>
      <c r="H73" s="285"/>
      <c r="I73" s="285"/>
      <c r="J73" s="285"/>
      <c r="K73" s="285"/>
      <c r="L73" s="285"/>
      <c r="M73" s="285"/>
      <c r="N73" s="1603"/>
      <c r="O73" s="285"/>
      <c r="P73" s="285"/>
      <c r="Q73" s="285"/>
      <c r="R73" s="2739"/>
      <c r="S73" s="285"/>
      <c r="T73" s="2741"/>
      <c r="U73" s="2741"/>
      <c r="V73" s="2741"/>
      <c r="W73" s="2741"/>
      <c r="X73" s="2741"/>
      <c r="Y73" s="2741"/>
      <c r="Z73" s="2741"/>
      <c r="AA73" s="2741"/>
      <c r="AB73" s="2741"/>
      <c r="AC73" s="2741"/>
      <c r="AD73" s="2741"/>
      <c r="AE73" s="1603"/>
      <c r="AF73" s="1246"/>
      <c r="AG73" s="1246"/>
      <c r="AH73" s="1247"/>
      <c r="AI73" s="1251"/>
      <c r="AJ73" s="1249"/>
      <c r="AK73" s="1250"/>
      <c r="AL73" s="1246"/>
      <c r="AM73" s="1246"/>
      <c r="AN73" s="1247"/>
      <c r="AO73" s="1251"/>
      <c r="AP73" s="1249"/>
      <c r="AQ73" s="1250"/>
      <c r="AR73" s="1246"/>
      <c r="AS73" s="1246"/>
      <c r="AT73" s="1247"/>
      <c r="AU73" s="1251"/>
      <c r="AV73" s="1249"/>
      <c r="AW73" s="1250"/>
      <c r="AX73" s="1246"/>
      <c r="AY73" s="1246"/>
      <c r="AZ73" s="1247"/>
      <c r="BA73" s="1251"/>
      <c r="BB73" s="1249"/>
    </row>
    <row r="74" spans="1:55" ht="47.25" customHeight="1">
      <c r="A74" s="1201" t="s">
        <v>236</v>
      </c>
      <c r="B74" s="3410" t="s">
        <v>60</v>
      </c>
      <c r="C74" s="3412"/>
      <c r="D74" s="277" t="s">
        <v>62</v>
      </c>
      <c r="E74" s="277" t="s">
        <v>63</v>
      </c>
      <c r="F74" s="1230"/>
      <c r="G74" s="1230"/>
      <c r="H74" s="1720" t="s">
        <v>45</v>
      </c>
      <c r="I74" s="1721"/>
      <c r="J74" s="1721"/>
      <c r="K74" s="1721" t="s">
        <v>61</v>
      </c>
      <c r="L74" s="1722"/>
      <c r="M74" s="277"/>
      <c r="N74" s="1720" t="s">
        <v>45</v>
      </c>
      <c r="O74" s="1721"/>
      <c r="P74" s="1721"/>
      <c r="Q74" s="1721" t="s">
        <v>61</v>
      </c>
      <c r="R74" s="1722"/>
      <c r="S74" s="2335"/>
      <c r="T74" s="2741" t="s">
        <v>45</v>
      </c>
      <c r="U74" s="2741"/>
      <c r="V74" s="2741"/>
      <c r="W74" s="2741" t="s">
        <v>61</v>
      </c>
      <c r="X74" s="2741"/>
      <c r="Y74" s="2741"/>
      <c r="Z74" s="2741" t="s">
        <v>45</v>
      </c>
      <c r="AA74" s="2741"/>
      <c r="AB74" s="2741"/>
      <c r="AC74" s="2741" t="s">
        <v>61</v>
      </c>
      <c r="AD74" s="2741"/>
      <c r="AE74" s="607"/>
      <c r="AF74" s="1246"/>
      <c r="AG74" s="1246"/>
      <c r="AH74" s="1247"/>
      <c r="AI74" s="1251"/>
      <c r="AJ74" s="1249"/>
      <c r="AK74" s="1250"/>
      <c r="AL74" s="1246"/>
      <c r="AM74" s="1246"/>
      <c r="AN74" s="1247"/>
      <c r="AO74" s="1251"/>
      <c r="AP74" s="1249"/>
      <c r="AQ74" s="1250"/>
      <c r="AR74" s="1246"/>
      <c r="AS74" s="1246"/>
      <c r="AT74" s="1247"/>
      <c r="AU74" s="1251"/>
      <c r="AV74" s="1249"/>
      <c r="AW74" s="1250"/>
      <c r="AX74" s="1246"/>
      <c r="AY74" s="1246"/>
      <c r="AZ74" s="1247"/>
      <c r="BA74" s="1251"/>
      <c r="BB74" s="1249"/>
      <c r="BC74" s="264" t="s">
        <v>473</v>
      </c>
    </row>
    <row r="75" spans="1:55" ht="41.25" customHeight="1">
      <c r="A75" s="1201" t="s">
        <v>503</v>
      </c>
      <c r="B75" s="3410" t="s">
        <v>471</v>
      </c>
      <c r="C75" s="3412"/>
      <c r="D75" s="21" t="s">
        <v>104</v>
      </c>
      <c r="E75" s="101" t="s">
        <v>504</v>
      </c>
      <c r="F75" s="95"/>
      <c r="G75" s="95"/>
      <c r="H75" s="3098">
        <v>62</v>
      </c>
      <c r="I75" s="3099"/>
      <c r="J75" s="3580"/>
      <c r="K75" s="3581">
        <v>62</v>
      </c>
      <c r="L75" s="3099"/>
      <c r="M75" s="1256"/>
      <c r="N75" s="3098"/>
      <c r="O75" s="3099"/>
      <c r="P75" s="3580"/>
      <c r="Q75" s="3581"/>
      <c r="R75" s="3100"/>
      <c r="S75" s="2378"/>
      <c r="T75" s="2741"/>
      <c r="U75" s="2741"/>
      <c r="V75" s="2741"/>
      <c r="W75" s="2741"/>
      <c r="X75" s="2741"/>
      <c r="Y75" s="2741"/>
      <c r="Z75" s="2741"/>
      <c r="AA75" s="2741"/>
      <c r="AB75" s="2741"/>
      <c r="AC75" s="2741"/>
      <c r="AD75" s="2741"/>
      <c r="AE75" s="2336"/>
      <c r="AF75" s="1246"/>
      <c r="AG75" s="1246"/>
      <c r="AH75" s="1247"/>
      <c r="AI75" s="1251"/>
      <c r="AJ75" s="1249"/>
      <c r="AK75" s="1250"/>
      <c r="AL75" s="1246"/>
      <c r="AM75" s="1246"/>
      <c r="AN75" s="1247"/>
      <c r="AO75" s="1251"/>
      <c r="AP75" s="1249"/>
      <c r="AQ75" s="1250"/>
      <c r="AR75" s="1246"/>
      <c r="AS75" s="1246"/>
      <c r="AT75" s="1247"/>
      <c r="AU75" s="1251"/>
      <c r="AV75" s="1249"/>
      <c r="AW75" s="1250"/>
      <c r="AX75" s="1246"/>
      <c r="AY75" s="1246"/>
      <c r="AZ75" s="1247"/>
      <c r="BA75" s="1251"/>
      <c r="BB75" s="1249"/>
      <c r="BC75" s="264" t="s">
        <v>473</v>
      </c>
    </row>
    <row r="76" spans="1:55" ht="41.25" customHeight="1">
      <c r="A76" s="1201" t="s">
        <v>505</v>
      </c>
      <c r="B76" s="3410" t="s">
        <v>475</v>
      </c>
      <c r="C76" s="3412"/>
      <c r="D76" s="21" t="s">
        <v>104</v>
      </c>
      <c r="E76" s="101" t="s">
        <v>504</v>
      </c>
      <c r="F76" s="95"/>
      <c r="G76" s="95"/>
      <c r="H76" s="3098">
        <v>63</v>
      </c>
      <c r="I76" s="3099"/>
      <c r="J76" s="3580"/>
      <c r="K76" s="3581">
        <v>60</v>
      </c>
      <c r="L76" s="3099"/>
      <c r="M76" s="1256"/>
      <c r="N76" s="3098"/>
      <c r="O76" s="3099"/>
      <c r="P76" s="3580"/>
      <c r="Q76" s="3581"/>
      <c r="R76" s="3100"/>
      <c r="S76" s="2378"/>
      <c r="T76" s="2741"/>
      <c r="U76" s="2741"/>
      <c r="V76" s="2741"/>
      <c r="W76" s="2741"/>
      <c r="X76" s="2741"/>
      <c r="Y76" s="2741"/>
      <c r="Z76" s="2741"/>
      <c r="AA76" s="2741"/>
      <c r="AB76" s="2741"/>
      <c r="AC76" s="2741"/>
      <c r="AD76" s="2741"/>
      <c r="AE76" s="2336"/>
      <c r="AF76" s="1246"/>
      <c r="AG76" s="1246"/>
      <c r="AH76" s="1247"/>
      <c r="AI76" s="1251"/>
      <c r="AJ76" s="1249"/>
      <c r="AK76" s="1250"/>
      <c r="AL76" s="1246"/>
      <c r="AM76" s="1246"/>
      <c r="AN76" s="1247"/>
      <c r="AO76" s="1251"/>
      <c r="AP76" s="1249"/>
      <c r="AQ76" s="1250"/>
      <c r="AR76" s="1246"/>
      <c r="AS76" s="1246"/>
      <c r="AT76" s="1247"/>
      <c r="AU76" s="1251"/>
      <c r="AV76" s="1249"/>
      <c r="AW76" s="1250"/>
      <c r="AX76" s="1246"/>
      <c r="AY76" s="1246"/>
      <c r="AZ76" s="1247"/>
      <c r="BA76" s="1251"/>
      <c r="BB76" s="1249"/>
      <c r="BC76" s="264" t="s">
        <v>473</v>
      </c>
    </row>
    <row r="77" spans="1:55" ht="41.25" customHeight="1">
      <c r="A77" s="1201" t="s">
        <v>506</v>
      </c>
      <c r="B77" s="3410" t="s">
        <v>477</v>
      </c>
      <c r="C77" s="3412"/>
      <c r="D77" s="21" t="s">
        <v>104</v>
      </c>
      <c r="E77" s="101" t="s">
        <v>504</v>
      </c>
      <c r="F77" s="1236"/>
      <c r="G77" s="1236"/>
      <c r="H77" s="3098">
        <v>58</v>
      </c>
      <c r="I77" s="3099"/>
      <c r="J77" s="3580"/>
      <c r="K77" s="3581">
        <v>59</v>
      </c>
      <c r="L77" s="3099"/>
      <c r="M77" s="1256"/>
      <c r="N77" s="3098"/>
      <c r="O77" s="3099"/>
      <c r="P77" s="3580"/>
      <c r="Q77" s="3581"/>
      <c r="R77" s="3100"/>
      <c r="S77" s="2378"/>
      <c r="T77" s="2741"/>
      <c r="U77" s="2741"/>
      <c r="V77" s="2741"/>
      <c r="W77" s="2741"/>
      <c r="X77" s="2741"/>
      <c r="Y77" s="2741"/>
      <c r="Z77" s="2741"/>
      <c r="AA77" s="2741"/>
      <c r="AB77" s="2741"/>
      <c r="AC77" s="2741"/>
      <c r="AD77" s="2741"/>
      <c r="AE77" s="2336"/>
      <c r="AF77" s="1257"/>
      <c r="AG77" s="1257"/>
      <c r="AH77" s="1257"/>
      <c r="AI77" s="1257"/>
      <c r="AJ77" s="99"/>
      <c r="AK77" s="99"/>
      <c r="AL77" s="1257"/>
      <c r="AM77" s="1257"/>
      <c r="AN77" s="1257"/>
      <c r="AO77" s="1257"/>
      <c r="AP77" s="2336"/>
      <c r="AQ77" s="99"/>
      <c r="AR77" s="1257"/>
      <c r="AS77" s="1257"/>
      <c r="AT77" s="1257"/>
      <c r="AU77" s="1257"/>
      <c r="AV77" s="99"/>
      <c r="AW77" s="99"/>
      <c r="AX77" s="1257"/>
      <c r="AY77" s="1257"/>
      <c r="AZ77" s="1257"/>
      <c r="BA77" s="1257"/>
      <c r="BB77" s="99"/>
      <c r="BC77" s="264" t="s">
        <v>473</v>
      </c>
    </row>
    <row r="78" spans="1:55" ht="41.25" customHeight="1">
      <c r="A78" s="1201" t="s">
        <v>507</v>
      </c>
      <c r="B78" s="3410" t="s">
        <v>508</v>
      </c>
      <c r="C78" s="3412"/>
      <c r="D78" s="21" t="s">
        <v>104</v>
      </c>
      <c r="E78" s="101" t="s">
        <v>509</v>
      </c>
      <c r="F78" s="1236"/>
      <c r="G78" s="1236"/>
      <c r="H78" s="3098">
        <v>40</v>
      </c>
      <c r="I78" s="3099"/>
      <c r="J78" s="3580"/>
      <c r="K78" s="3581">
        <v>34</v>
      </c>
      <c r="L78" s="3099"/>
      <c r="M78" s="1256"/>
      <c r="N78" s="3098"/>
      <c r="O78" s="3099"/>
      <c r="P78" s="3580"/>
      <c r="Q78" s="3581"/>
      <c r="R78" s="3100"/>
      <c r="S78" s="2379"/>
      <c r="T78" s="2741"/>
      <c r="U78" s="2741"/>
      <c r="V78" s="2741"/>
      <c r="W78" s="2741"/>
      <c r="X78" s="2741"/>
      <c r="Y78" s="2741"/>
      <c r="Z78" s="2741"/>
      <c r="AA78" s="2741"/>
      <c r="AB78" s="2741"/>
      <c r="AC78" s="2741"/>
      <c r="AD78" s="2741"/>
      <c r="AE78" s="2336"/>
      <c r="AF78" s="1257"/>
      <c r="AG78" s="1257"/>
      <c r="AH78" s="1257"/>
      <c r="AI78" s="1257"/>
      <c r="AJ78" s="99"/>
      <c r="AK78" s="99"/>
      <c r="AL78" s="1257"/>
      <c r="AM78" s="1257"/>
      <c r="AN78" s="1257"/>
      <c r="AO78" s="1257"/>
      <c r="AP78" s="2336"/>
      <c r="AQ78" s="99"/>
      <c r="AR78" s="1257"/>
      <c r="AS78" s="1257"/>
      <c r="AT78" s="1257"/>
      <c r="AU78" s="1257"/>
      <c r="AV78" s="99"/>
      <c r="AW78" s="99"/>
      <c r="AX78" s="1257"/>
      <c r="AY78" s="1257"/>
      <c r="AZ78" s="1257"/>
      <c r="BA78" s="1257"/>
      <c r="BB78" s="99"/>
      <c r="BC78" s="264" t="s">
        <v>473</v>
      </c>
    </row>
    <row r="79" spans="1:55" ht="41.25" customHeight="1">
      <c r="A79" s="1201" t="s">
        <v>510</v>
      </c>
      <c r="B79" s="3410" t="s">
        <v>511</v>
      </c>
      <c r="C79" s="3412"/>
      <c r="D79" s="21" t="s">
        <v>104</v>
      </c>
      <c r="E79" s="101" t="s">
        <v>512</v>
      </c>
      <c r="F79" s="1236"/>
      <c r="G79" s="1236"/>
      <c r="H79" s="3098">
        <v>31</v>
      </c>
      <c r="I79" s="3099"/>
      <c r="J79" s="3580"/>
      <c r="K79" s="3581">
        <v>31</v>
      </c>
      <c r="L79" s="3099"/>
      <c r="M79" s="1256"/>
      <c r="N79" s="3098"/>
      <c r="O79" s="3099"/>
      <c r="P79" s="3580"/>
      <c r="Q79" s="3581"/>
      <c r="R79" s="3100"/>
      <c r="S79" s="2379"/>
      <c r="T79" s="2741"/>
      <c r="U79" s="2741"/>
      <c r="V79" s="2741"/>
      <c r="W79" s="2741"/>
      <c r="X79" s="2741"/>
      <c r="Y79" s="2741"/>
      <c r="Z79" s="2741"/>
      <c r="AA79" s="2741"/>
      <c r="AB79" s="2741"/>
      <c r="AC79" s="2741"/>
      <c r="AD79" s="2741"/>
      <c r="AE79" s="2336"/>
      <c r="AF79" s="1257"/>
      <c r="AG79" s="1257"/>
      <c r="AH79" s="1257"/>
      <c r="AI79" s="1257"/>
      <c r="AJ79" s="99"/>
      <c r="AK79" s="99"/>
      <c r="AL79" s="1257"/>
      <c r="AM79" s="1257"/>
      <c r="AN79" s="1257"/>
      <c r="AO79" s="1257"/>
      <c r="AP79" s="2336"/>
      <c r="AQ79" s="99"/>
      <c r="AR79" s="1257"/>
      <c r="AS79" s="1257"/>
      <c r="AT79" s="1257"/>
      <c r="AU79" s="1257"/>
      <c r="AV79" s="99"/>
      <c r="AW79" s="99"/>
      <c r="AX79" s="1257"/>
      <c r="AY79" s="1257"/>
      <c r="AZ79" s="1257"/>
      <c r="BA79" s="1257"/>
      <c r="BB79" s="99"/>
      <c r="BC79" s="264" t="s">
        <v>473</v>
      </c>
    </row>
    <row r="80" spans="1:55" ht="41.25" hidden="1" customHeight="1">
      <c r="A80" s="1201" t="s">
        <v>513</v>
      </c>
      <c r="B80" s="3410" t="s">
        <v>514</v>
      </c>
      <c r="C80" s="3412"/>
      <c r="D80" s="21" t="s">
        <v>104</v>
      </c>
      <c r="E80" s="101" t="s">
        <v>512</v>
      </c>
      <c r="F80" s="1236"/>
      <c r="G80" s="1236"/>
      <c r="H80" s="3098"/>
      <c r="I80" s="3099"/>
      <c r="J80" s="3580"/>
      <c r="K80" s="3581"/>
      <c r="L80" s="3099"/>
      <c r="M80" s="1256"/>
      <c r="N80" s="3098"/>
      <c r="O80" s="3099"/>
      <c r="P80" s="3580"/>
      <c r="Q80" s="3581"/>
      <c r="R80" s="3100"/>
      <c r="S80" s="2379"/>
      <c r="T80" s="2741"/>
      <c r="U80" s="2741"/>
      <c r="V80" s="2741"/>
      <c r="W80" s="2741"/>
      <c r="X80" s="2741"/>
      <c r="Y80" s="2741"/>
      <c r="Z80" s="2741"/>
      <c r="AA80" s="2741"/>
      <c r="AB80" s="2741"/>
      <c r="AC80" s="2741"/>
      <c r="AD80" s="2741"/>
      <c r="AE80" s="2336"/>
      <c r="AF80" s="1257"/>
      <c r="AG80" s="1257"/>
      <c r="AH80" s="1257"/>
      <c r="AI80" s="1257"/>
      <c r="AJ80" s="99"/>
      <c r="AK80" s="99"/>
      <c r="AL80" s="1257"/>
      <c r="AM80" s="1257"/>
      <c r="AN80" s="1257"/>
      <c r="AO80" s="1257"/>
      <c r="AP80" s="2336"/>
      <c r="AQ80" s="99"/>
      <c r="AR80" s="1257"/>
      <c r="AS80" s="1257"/>
      <c r="AT80" s="1257"/>
      <c r="AU80" s="1257"/>
      <c r="AV80" s="99"/>
      <c r="AW80" s="99"/>
      <c r="AX80" s="1257"/>
      <c r="AY80" s="1257"/>
      <c r="AZ80" s="1257"/>
      <c r="BA80" s="1257"/>
      <c r="BB80" s="99"/>
      <c r="BC80" s="264" t="s">
        <v>473</v>
      </c>
    </row>
    <row r="81" spans="1:55" ht="38.25" customHeight="1">
      <c r="A81" s="1201" t="s">
        <v>515</v>
      </c>
      <c r="B81" s="3410" t="s">
        <v>516</v>
      </c>
      <c r="C81" s="3412"/>
      <c r="D81" s="21" t="s">
        <v>104</v>
      </c>
      <c r="E81" s="101" t="s">
        <v>517</v>
      </c>
      <c r="F81" s="1236"/>
      <c r="G81" s="1236"/>
      <c r="H81" s="3370" t="s">
        <v>46</v>
      </c>
      <c r="I81" s="3371"/>
      <c r="J81" s="3582"/>
      <c r="K81" s="3581">
        <v>35</v>
      </c>
      <c r="L81" s="3099"/>
      <c r="M81" s="1256"/>
      <c r="N81" s="3370" t="s">
        <v>46</v>
      </c>
      <c r="O81" s="3371"/>
      <c r="P81" s="3582"/>
      <c r="Q81" s="3581"/>
      <c r="R81" s="3100"/>
      <c r="S81" s="2379"/>
      <c r="T81" s="2741" t="s">
        <v>46</v>
      </c>
      <c r="U81" s="2741"/>
      <c r="V81" s="2741"/>
      <c r="W81" s="2741"/>
      <c r="X81" s="2741"/>
      <c r="Y81" s="2741"/>
      <c r="Z81" s="2741" t="s">
        <v>46</v>
      </c>
      <c r="AA81" s="2741"/>
      <c r="AB81" s="2741"/>
      <c r="AC81" s="2741"/>
      <c r="AD81" s="2741"/>
      <c r="AE81" s="2336"/>
      <c r="AF81" s="1258"/>
      <c r="AG81" s="1258"/>
      <c r="AH81" s="1258"/>
      <c r="AI81" s="1258"/>
      <c r="AJ81" s="99"/>
      <c r="AK81" s="99"/>
      <c r="AL81" s="1258"/>
      <c r="AM81" s="1258"/>
      <c r="AN81" s="1258"/>
      <c r="AO81" s="1258"/>
      <c r="AP81" s="2336"/>
      <c r="AQ81" s="99"/>
      <c r="AR81" s="1258"/>
      <c r="AS81" s="1258"/>
      <c r="AT81" s="1258"/>
      <c r="AU81" s="1258"/>
      <c r="AV81" s="99"/>
      <c r="AW81" s="99"/>
      <c r="AX81" s="1258"/>
      <c r="AY81" s="1258"/>
      <c r="AZ81" s="1258"/>
      <c r="BA81" s="1258"/>
      <c r="BB81" s="99"/>
      <c r="BC81" s="264" t="s">
        <v>473</v>
      </c>
    </row>
    <row r="82" spans="1:55" s="19" customFormat="1" ht="47.25" customHeight="1">
      <c r="A82" s="2744" t="s">
        <v>518</v>
      </c>
      <c r="B82" s="2746"/>
      <c r="C82" s="2747"/>
      <c r="D82" s="2747"/>
      <c r="E82" s="2747"/>
      <c r="F82" s="2747"/>
      <c r="G82" s="2747"/>
      <c r="H82" s="2745"/>
      <c r="I82" s="2747"/>
      <c r="J82" s="2747"/>
      <c r="K82" s="2747"/>
      <c r="L82" s="2747"/>
      <c r="M82" s="2747"/>
      <c r="N82" s="2747"/>
      <c r="O82" s="2747"/>
      <c r="P82" s="2747"/>
      <c r="Q82" s="2747"/>
      <c r="R82" s="2748"/>
      <c r="S82" s="1259"/>
      <c r="T82" s="1260"/>
      <c r="U82" s="1260"/>
      <c r="V82" s="1260"/>
      <c r="W82" s="1260"/>
      <c r="X82" s="1260"/>
      <c r="Y82" s="1260"/>
      <c r="Z82" s="1260"/>
      <c r="AA82" s="1260"/>
      <c r="AB82" s="1260"/>
      <c r="AC82" s="1260"/>
      <c r="AD82" s="1260"/>
      <c r="AE82" s="1263"/>
      <c r="AF82" s="1260"/>
      <c r="AG82" s="1260"/>
      <c r="AH82" s="1260"/>
      <c r="AI82" s="1260"/>
      <c r="AJ82" s="1260"/>
      <c r="AK82" s="1260"/>
      <c r="AL82" s="1263"/>
      <c r="AM82" s="1263"/>
      <c r="AN82" s="1263"/>
      <c r="AO82" s="1263"/>
      <c r="AP82" s="1263"/>
      <c r="AQ82" s="264" t="s">
        <v>473</v>
      </c>
      <c r="AR82" s="264"/>
    </row>
    <row r="83" spans="1:55" s="19" customFormat="1" ht="47.25" customHeight="1">
      <c r="A83" s="435"/>
      <c r="B83" s="3410" t="s">
        <v>518</v>
      </c>
      <c r="C83" s="3412"/>
      <c r="D83" s="2730" t="s">
        <v>519</v>
      </c>
      <c r="E83" s="101" t="s">
        <v>520</v>
      </c>
      <c r="F83" s="95"/>
      <c r="G83" s="95" t="s">
        <v>519</v>
      </c>
      <c r="H83" s="3098">
        <v>986</v>
      </c>
      <c r="I83" s="3099"/>
      <c r="J83" s="3099"/>
      <c r="K83" s="3099"/>
      <c r="L83" s="3100"/>
      <c r="M83" s="2728"/>
      <c r="N83" s="3098"/>
      <c r="O83" s="3099"/>
      <c r="P83" s="3099"/>
      <c r="Q83" s="3099"/>
      <c r="R83" s="3100"/>
      <c r="S83" s="1266"/>
      <c r="T83" s="3583"/>
      <c r="U83" s="3583"/>
      <c r="V83" s="3583"/>
      <c r="W83" s="3583"/>
      <c r="X83" s="3583"/>
      <c r="Y83" s="1257"/>
      <c r="Z83" s="3583"/>
      <c r="AA83" s="3583"/>
      <c r="AB83" s="3583"/>
      <c r="AC83" s="3583"/>
      <c r="AD83" s="3583"/>
      <c r="AE83" s="1257"/>
      <c r="AF83" s="3583"/>
      <c r="AG83" s="3583"/>
      <c r="AH83" s="3583"/>
      <c r="AI83" s="3583"/>
      <c r="AJ83" s="3583"/>
      <c r="AK83" s="1257"/>
      <c r="AL83" s="3583"/>
      <c r="AM83" s="3583"/>
      <c r="AN83" s="3583"/>
      <c r="AO83" s="3583"/>
      <c r="AP83" s="3583"/>
      <c r="AQ83" s="264" t="s">
        <v>473</v>
      </c>
      <c r="AR83" s="264"/>
    </row>
    <row r="84" spans="1:55" s="19" customFormat="1" ht="47.25" hidden="1" customHeight="1">
      <c r="A84" s="435"/>
      <c r="B84" s="3410" t="s">
        <v>521</v>
      </c>
      <c r="C84" s="3412"/>
      <c r="D84" s="2730" t="s">
        <v>519</v>
      </c>
      <c r="E84" s="101" t="s">
        <v>522</v>
      </c>
      <c r="F84" s="95"/>
      <c r="G84" s="95" t="s">
        <v>519</v>
      </c>
      <c r="H84" s="3098"/>
      <c r="I84" s="3099"/>
      <c r="J84" s="3099"/>
      <c r="K84" s="3099"/>
      <c r="L84" s="3099"/>
      <c r="M84" s="2728"/>
      <c r="N84" s="3098"/>
      <c r="O84" s="3099"/>
      <c r="P84" s="3099"/>
      <c r="Q84" s="3099"/>
      <c r="R84" s="3100"/>
      <c r="S84" s="1266"/>
      <c r="T84" s="3583"/>
      <c r="U84" s="3583"/>
      <c r="V84" s="3583"/>
      <c r="W84" s="3583"/>
      <c r="X84" s="3583"/>
      <c r="Y84" s="1257"/>
      <c r="Z84" s="3583"/>
      <c r="AA84" s="3583"/>
      <c r="AB84" s="3583"/>
      <c r="AC84" s="3583"/>
      <c r="AD84" s="3583"/>
      <c r="AE84" s="1257"/>
      <c r="AF84" s="3583"/>
      <c r="AG84" s="3583"/>
      <c r="AH84" s="3583"/>
      <c r="AI84" s="3583"/>
      <c r="AJ84" s="3583"/>
      <c r="AK84" s="1257"/>
      <c r="AL84" s="3583"/>
      <c r="AM84" s="3583"/>
      <c r="AN84" s="3583"/>
      <c r="AO84" s="3583"/>
      <c r="AP84" s="3583"/>
      <c r="AQ84" s="264" t="s">
        <v>473</v>
      </c>
      <c r="AR84" s="264"/>
    </row>
    <row r="85" spans="1:55" ht="23.25" customHeight="1">
      <c r="A85" s="1261"/>
      <c r="B85" s="1261"/>
      <c r="C85" s="1261"/>
      <c r="D85" s="1261"/>
      <c r="E85" s="1261"/>
      <c r="F85" s="1261"/>
      <c r="G85" s="1261"/>
      <c r="H85" s="1261"/>
      <c r="I85" s="1261"/>
      <c r="J85" s="1261"/>
      <c r="K85" s="1261"/>
      <c r="L85" s="1261"/>
      <c r="M85" s="1261"/>
      <c r="N85" s="1261"/>
      <c r="O85" s="1261"/>
      <c r="P85" s="1261"/>
      <c r="Q85" s="1261"/>
      <c r="R85" s="1261"/>
      <c r="S85" s="1262"/>
      <c r="T85" s="1263"/>
      <c r="U85" s="1263"/>
      <c r="V85" s="1263"/>
      <c r="W85" s="1263"/>
      <c r="X85" s="1263"/>
      <c r="Y85" s="1263"/>
      <c r="Z85" s="1263"/>
      <c r="AA85" s="1263"/>
      <c r="AB85" s="1263"/>
      <c r="AC85" s="1263"/>
      <c r="AD85" s="1263"/>
      <c r="AE85" s="1263"/>
      <c r="AF85" s="1263"/>
      <c r="AG85" s="1263"/>
      <c r="AH85" s="1263"/>
      <c r="AI85" s="1263"/>
      <c r="AJ85" s="1263"/>
      <c r="AK85" s="1263"/>
      <c r="AL85" s="1263"/>
      <c r="AM85" s="1263"/>
      <c r="AN85" s="1263"/>
      <c r="AO85" s="1263"/>
      <c r="AP85" s="1263"/>
    </row>
    <row r="86" spans="1:55" ht="40.5" customHeight="1">
      <c r="A86" s="1960" t="s">
        <v>523</v>
      </c>
      <c r="B86" s="1961"/>
      <c r="C86" s="1961"/>
      <c r="D86" s="1961"/>
      <c r="E86" s="1962"/>
      <c r="F86" s="1963"/>
      <c r="G86" s="1964"/>
      <c r="H86" s="1965" t="s">
        <v>71</v>
      </c>
      <c r="I86" s="1966"/>
      <c r="J86" s="1966"/>
      <c r="K86" s="1966"/>
      <c r="L86" s="1966"/>
      <c r="M86" s="1966"/>
      <c r="N86" s="1966"/>
      <c r="O86" s="1966"/>
      <c r="P86" s="1966"/>
      <c r="Q86" s="1966"/>
      <c r="R86" s="1967"/>
      <c r="S86" s="1239"/>
      <c r="AD86" s="264"/>
      <c r="AE86" s="40"/>
      <c r="AP86" s="264"/>
    </row>
    <row r="87" spans="1:55" ht="27.75" customHeight="1">
      <c r="A87" s="417"/>
      <c r="B87" s="3568" t="s">
        <v>75</v>
      </c>
      <c r="C87" s="3569"/>
      <c r="D87" s="3572" t="s">
        <v>123</v>
      </c>
      <c r="E87" s="3574" t="s">
        <v>63</v>
      </c>
      <c r="F87" s="1221"/>
      <c r="G87" s="82"/>
      <c r="H87" s="3584">
        <v>0.375</v>
      </c>
      <c r="I87" s="3584"/>
      <c r="J87" s="3584"/>
      <c r="K87" s="3584"/>
      <c r="L87" s="3584"/>
      <c r="M87" s="1222"/>
      <c r="N87" s="3584">
        <v>0.875</v>
      </c>
      <c r="O87" s="3584"/>
      <c r="P87" s="3584"/>
      <c r="Q87" s="3584"/>
      <c r="R87" s="3584"/>
      <c r="S87" s="1264"/>
      <c r="T87" s="40"/>
      <c r="AD87" s="264"/>
      <c r="AE87" s="1241"/>
      <c r="AF87" s="40"/>
      <c r="AP87" s="264"/>
    </row>
    <row r="88" spans="1:55" ht="43.5" customHeight="1">
      <c r="A88" s="1200" t="s">
        <v>236</v>
      </c>
      <c r="B88" s="3570"/>
      <c r="C88" s="3571"/>
      <c r="D88" s="3573"/>
      <c r="E88" s="3575"/>
      <c r="F88" s="1223" t="s">
        <v>420</v>
      </c>
      <c r="G88" s="1242"/>
      <c r="H88" s="1199" t="s">
        <v>128</v>
      </c>
      <c r="I88" s="33" t="s">
        <v>1</v>
      </c>
      <c r="J88" s="282" t="s">
        <v>1</v>
      </c>
      <c r="K88" s="282"/>
      <c r="L88" s="283"/>
      <c r="M88" s="84"/>
      <c r="N88" s="1199" t="s">
        <v>128</v>
      </c>
      <c r="O88" s="33" t="s">
        <v>1</v>
      </c>
      <c r="P88" s="282" t="s">
        <v>1</v>
      </c>
      <c r="Q88" s="282"/>
      <c r="R88" s="283"/>
      <c r="S88" s="438"/>
      <c r="T88" s="40"/>
      <c r="AD88" s="264"/>
      <c r="AE88" s="1244"/>
      <c r="AF88" s="40"/>
      <c r="AP88" s="264"/>
    </row>
    <row r="89" spans="1:55" ht="34.5" customHeight="1">
      <c r="A89" s="1201" t="s">
        <v>524</v>
      </c>
      <c r="B89" s="3585" t="s">
        <v>525</v>
      </c>
      <c r="C89" s="3586"/>
      <c r="D89" s="44" t="s">
        <v>4</v>
      </c>
      <c r="E89" s="1197" t="s">
        <v>526</v>
      </c>
      <c r="F89" s="1265">
        <v>25</v>
      </c>
      <c r="G89" s="1245">
        <f>R.HN!C51</f>
        <v>1.64</v>
      </c>
      <c r="H89" s="34">
        <f>G89*15.8</f>
        <v>25.911999999999999</v>
      </c>
      <c r="I89" s="34">
        <f>($F$89-H89)*1632/1000</f>
        <v>-1.4883839999999984</v>
      </c>
      <c r="J89" s="35" t="s">
        <v>8</v>
      </c>
      <c r="K89" s="422">
        <f t="shared" ref="K89:K98" si="10">IF(I89&lt;0,0,I89)</f>
        <v>0</v>
      </c>
      <c r="L89" s="211" t="s">
        <v>9</v>
      </c>
      <c r="M89" s="243">
        <f>R.HN!D51</f>
        <v>1.86</v>
      </c>
      <c r="N89" s="34">
        <v>26</v>
      </c>
      <c r="O89" s="34">
        <f>($F$89-N89)*1632/1000</f>
        <v>-1.6319999999999999</v>
      </c>
      <c r="P89" s="35" t="s">
        <v>8</v>
      </c>
      <c r="Q89" s="422">
        <f t="shared" ref="Q89:Q98" si="11">IF(O89&lt;0,0,O89)</f>
        <v>0</v>
      </c>
      <c r="R89" s="38" t="s">
        <v>9</v>
      </c>
      <c r="S89" s="441"/>
      <c r="T89" s="40"/>
      <c r="AD89" s="264"/>
      <c r="AE89" s="1250"/>
      <c r="AF89" s="40"/>
      <c r="AP89" s="264"/>
      <c r="AQ89" s="264" t="s">
        <v>527</v>
      </c>
    </row>
    <row r="90" spans="1:55" ht="34.5" customHeight="1">
      <c r="A90" s="1201" t="s">
        <v>528</v>
      </c>
      <c r="B90" s="3585" t="s">
        <v>529</v>
      </c>
      <c r="C90" s="3586"/>
      <c r="D90" s="44" t="s">
        <v>4</v>
      </c>
      <c r="E90" s="1197" t="s">
        <v>526</v>
      </c>
      <c r="F90" s="1265">
        <v>25</v>
      </c>
      <c r="G90" s="1245">
        <f>R.HN!C52</f>
        <v>1.44</v>
      </c>
      <c r="H90" s="34">
        <f>G90*15.8</f>
        <v>22.751999999999999</v>
      </c>
      <c r="I90" s="34">
        <f>($F$90-H90)*1632/1000</f>
        <v>3.6687360000000018</v>
      </c>
      <c r="J90" s="35" t="s">
        <v>8</v>
      </c>
      <c r="K90" s="422">
        <f t="shared" si="10"/>
        <v>3.6687360000000018</v>
      </c>
      <c r="L90" s="211" t="s">
        <v>9</v>
      </c>
      <c r="M90" s="243">
        <f>R.HN!D52</f>
        <v>1.56</v>
      </c>
      <c r="N90" s="34">
        <v>25</v>
      </c>
      <c r="O90" s="34">
        <f>($F$90-N90)*1632/1000</f>
        <v>0</v>
      </c>
      <c r="P90" s="35" t="s">
        <v>8</v>
      </c>
      <c r="Q90" s="422">
        <f t="shared" si="11"/>
        <v>0</v>
      </c>
      <c r="R90" s="38" t="s">
        <v>9</v>
      </c>
      <c r="S90" s="441"/>
      <c r="T90" s="40"/>
      <c r="AD90" s="264"/>
      <c r="AE90" s="1250"/>
      <c r="AF90" s="40"/>
      <c r="AP90" s="264"/>
      <c r="AQ90" s="264" t="s">
        <v>527</v>
      </c>
    </row>
    <row r="91" spans="1:55" ht="34.5" customHeight="1">
      <c r="A91" s="1201" t="s">
        <v>530</v>
      </c>
      <c r="B91" s="3585" t="s">
        <v>531</v>
      </c>
      <c r="C91" s="3586"/>
      <c r="D91" s="44" t="s">
        <v>54</v>
      </c>
      <c r="E91" s="1197" t="s">
        <v>532</v>
      </c>
      <c r="F91" s="1265">
        <v>250</v>
      </c>
      <c r="G91" s="1245">
        <f>R.HN!C53</f>
        <v>3.7</v>
      </c>
      <c r="H91" s="34">
        <f>G91*65.2</f>
        <v>241.24</v>
      </c>
      <c r="I91" s="34">
        <f>($F$91-H91)*1632/1000</f>
        <v>14.296319999999985</v>
      </c>
      <c r="J91" s="35" t="s">
        <v>8</v>
      </c>
      <c r="K91" s="422">
        <f t="shared" si="10"/>
        <v>14.296319999999985</v>
      </c>
      <c r="L91" s="211" t="s">
        <v>1146</v>
      </c>
      <c r="M91" s="243">
        <f>R.HN!D53</f>
        <v>3.65</v>
      </c>
      <c r="N91" s="34">
        <v>245</v>
      </c>
      <c r="O91" s="34">
        <f>($F$91-N91)*1632/1000</f>
        <v>8.16</v>
      </c>
      <c r="P91" s="35" t="s">
        <v>8</v>
      </c>
      <c r="Q91" s="422">
        <f t="shared" si="11"/>
        <v>8.16</v>
      </c>
      <c r="R91" s="38" t="s">
        <v>1146</v>
      </c>
      <c r="S91" s="441"/>
      <c r="T91" s="40"/>
      <c r="AD91" s="264"/>
      <c r="AE91" s="1250"/>
      <c r="AF91" s="40"/>
      <c r="AP91" s="264"/>
      <c r="AQ91" s="264" t="s">
        <v>527</v>
      </c>
    </row>
    <row r="92" spans="1:55" ht="34.5" customHeight="1">
      <c r="A92" s="1201" t="s">
        <v>533</v>
      </c>
      <c r="B92" s="3585" t="s">
        <v>1186</v>
      </c>
      <c r="C92" s="3586"/>
      <c r="D92" s="44" t="s">
        <v>4</v>
      </c>
      <c r="E92" s="1197" t="s">
        <v>534</v>
      </c>
      <c r="F92" s="1265">
        <v>130</v>
      </c>
      <c r="G92" s="1245">
        <f>R.HN!C54</f>
        <v>9.9</v>
      </c>
      <c r="H92" s="34">
        <f>G92*12.5</f>
        <v>123.75</v>
      </c>
      <c r="I92" s="34">
        <f>($F$92-H92)*1728/1000</f>
        <v>10.8</v>
      </c>
      <c r="J92" s="35" t="s">
        <v>8</v>
      </c>
      <c r="K92" s="422">
        <f t="shared" si="10"/>
        <v>10.8</v>
      </c>
      <c r="L92" s="211" t="s">
        <v>9</v>
      </c>
      <c r="M92" s="243">
        <f>R.HN!D54</f>
        <v>9.8000000000000007</v>
      </c>
      <c r="N92" s="34">
        <v>124</v>
      </c>
      <c r="O92" s="34">
        <f>($F$92-N92)*1728/1000</f>
        <v>10.368</v>
      </c>
      <c r="P92" s="35" t="s">
        <v>8</v>
      </c>
      <c r="Q92" s="422">
        <f t="shared" si="11"/>
        <v>10.368</v>
      </c>
      <c r="R92" s="38" t="s">
        <v>9</v>
      </c>
      <c r="S92" s="441"/>
      <c r="T92" s="40"/>
      <c r="AD92" s="264"/>
      <c r="AE92" s="1250"/>
      <c r="AF92" s="40"/>
      <c r="AP92" s="264"/>
      <c r="AQ92" s="264" t="s">
        <v>527</v>
      </c>
    </row>
    <row r="93" spans="1:55" ht="34.5" customHeight="1">
      <c r="A93" s="1201" t="s">
        <v>535</v>
      </c>
      <c r="B93" s="3585" t="s">
        <v>1187</v>
      </c>
      <c r="C93" s="3586"/>
      <c r="D93" s="44" t="s">
        <v>4</v>
      </c>
      <c r="E93" s="1197" t="s">
        <v>536</v>
      </c>
      <c r="F93" s="85"/>
      <c r="G93" s="1245">
        <f>R.HN!C55</f>
        <v>8.1999999999999993</v>
      </c>
      <c r="H93" s="34">
        <f>(G92-G93)*1.25</f>
        <v>2.1250000000000013</v>
      </c>
      <c r="I93" s="34" t="s">
        <v>432</v>
      </c>
      <c r="J93" s="35" t="s">
        <v>8</v>
      </c>
      <c r="K93" s="422" t="str">
        <f t="shared" si="10"/>
        <v>N/A</v>
      </c>
      <c r="L93" s="211" t="s">
        <v>9</v>
      </c>
      <c r="M93" s="243">
        <f>R.HN!D55</f>
        <v>8</v>
      </c>
      <c r="N93" s="34">
        <f>(M92-M93)*1.25</f>
        <v>2.2500000000000009</v>
      </c>
      <c r="O93" s="34" t="s">
        <v>432</v>
      </c>
      <c r="P93" s="35" t="s">
        <v>8</v>
      </c>
      <c r="Q93" s="422" t="str">
        <f t="shared" si="11"/>
        <v>N/A</v>
      </c>
      <c r="R93" s="38" t="s">
        <v>9</v>
      </c>
      <c r="S93" s="441"/>
      <c r="T93" s="40"/>
      <c r="AD93" s="264"/>
      <c r="AE93" s="1250"/>
      <c r="AF93" s="40"/>
      <c r="AP93" s="264"/>
      <c r="AQ93" s="264" t="s">
        <v>527</v>
      </c>
    </row>
    <row r="94" spans="1:55" ht="34.5" customHeight="1">
      <c r="A94" s="1201" t="s">
        <v>537</v>
      </c>
      <c r="B94" s="3585" t="s">
        <v>1188</v>
      </c>
      <c r="C94" s="3586"/>
      <c r="D94" s="44" t="s">
        <v>4</v>
      </c>
      <c r="E94" s="1197" t="s">
        <v>534</v>
      </c>
      <c r="F94" s="85">
        <v>130</v>
      </c>
      <c r="G94" s="1245">
        <f>R.HN!C56</f>
        <v>9.8000000000000007</v>
      </c>
      <c r="H94" s="34">
        <f>G94*12.5</f>
        <v>122.50000000000001</v>
      </c>
      <c r="I94" s="34">
        <f>($F$94-H94)*1728/1000</f>
        <v>12.959999999999974</v>
      </c>
      <c r="J94" s="35" t="s">
        <v>8</v>
      </c>
      <c r="K94" s="422">
        <f>IF(I94&lt;0,0,I94)</f>
        <v>12.959999999999974</v>
      </c>
      <c r="L94" s="211" t="s">
        <v>9</v>
      </c>
      <c r="M94" s="243">
        <f>R.HN!D56</f>
        <v>9.9</v>
      </c>
      <c r="N94" s="34">
        <f>M94*12.5</f>
        <v>123.75</v>
      </c>
      <c r="O94" s="34">
        <f>($F$92-N94)*1728/1000</f>
        <v>10.8</v>
      </c>
      <c r="P94" s="35" t="s">
        <v>8</v>
      </c>
      <c r="Q94" s="422">
        <f>IF(O94&lt;0,0,O94)</f>
        <v>10.8</v>
      </c>
      <c r="R94" s="38" t="s">
        <v>9</v>
      </c>
      <c r="S94" s="441"/>
      <c r="T94" s="40"/>
      <c r="AD94" s="264"/>
      <c r="AE94" s="1250"/>
      <c r="AF94" s="40"/>
      <c r="AP94" s="264"/>
      <c r="AQ94" s="264" t="s">
        <v>527</v>
      </c>
    </row>
    <row r="95" spans="1:55" ht="34.5" customHeight="1">
      <c r="A95" s="1201" t="s">
        <v>538</v>
      </c>
      <c r="B95" s="3585" t="s">
        <v>1189</v>
      </c>
      <c r="C95" s="3586"/>
      <c r="D95" s="44" t="s">
        <v>4</v>
      </c>
      <c r="E95" s="1197" t="s">
        <v>536</v>
      </c>
      <c r="F95" s="85"/>
      <c r="G95" s="1245">
        <f>R.HN!C57</f>
        <v>8.1</v>
      </c>
      <c r="H95" s="34">
        <f>(G94-G95)*1.25</f>
        <v>2.1250000000000013</v>
      </c>
      <c r="I95" s="34" t="s">
        <v>432</v>
      </c>
      <c r="J95" s="35" t="s">
        <v>8</v>
      </c>
      <c r="K95" s="422" t="str">
        <f>IF(I95&lt;0,0,I95)</f>
        <v>N/A</v>
      </c>
      <c r="L95" s="211" t="s">
        <v>9</v>
      </c>
      <c r="M95" s="243">
        <f>R.HN!D57</f>
        <v>7.8</v>
      </c>
      <c r="N95" s="34">
        <f>(M94-M95)*1.25</f>
        <v>2.6250000000000009</v>
      </c>
      <c r="O95" s="34" t="s">
        <v>432</v>
      </c>
      <c r="P95" s="35" t="s">
        <v>8</v>
      </c>
      <c r="Q95" s="422" t="str">
        <f>IF(O95&lt;0,0,O95)</f>
        <v>N/A</v>
      </c>
      <c r="R95" s="38" t="s">
        <v>9</v>
      </c>
      <c r="S95" s="441"/>
      <c r="T95" s="40"/>
      <c r="AD95" s="264"/>
      <c r="AE95" s="1250"/>
      <c r="AF95" s="40"/>
      <c r="AP95" s="264"/>
      <c r="AQ95" s="264" t="s">
        <v>527</v>
      </c>
    </row>
    <row r="96" spans="1:55" ht="34.5" customHeight="1">
      <c r="A96" s="1201" t="s">
        <v>539</v>
      </c>
      <c r="B96" s="3585" t="s">
        <v>1190</v>
      </c>
      <c r="C96" s="3586"/>
      <c r="D96" s="44" t="s">
        <v>4</v>
      </c>
      <c r="E96" s="1197" t="s">
        <v>534</v>
      </c>
      <c r="F96" s="85">
        <v>130</v>
      </c>
      <c r="G96" s="1245">
        <f>R.HN!C58</f>
        <v>9.8000000000000007</v>
      </c>
      <c r="H96" s="34">
        <f>G96*12.5</f>
        <v>122.50000000000001</v>
      </c>
      <c r="I96" s="34">
        <f>($F$96-H96)*1728/1000</f>
        <v>12.959999999999974</v>
      </c>
      <c r="J96" s="35" t="s">
        <v>8</v>
      </c>
      <c r="K96" s="422">
        <f>IF(I96&lt;0,0,I96)</f>
        <v>12.959999999999974</v>
      </c>
      <c r="L96" s="211" t="s">
        <v>9</v>
      </c>
      <c r="M96" s="243">
        <f>R.HN!D58</f>
        <v>9.6999999999999993</v>
      </c>
      <c r="N96" s="34">
        <v>123.5</v>
      </c>
      <c r="O96" s="34">
        <f>($F$92-N96)*1728/1000</f>
        <v>11.231999999999999</v>
      </c>
      <c r="P96" s="35" t="s">
        <v>8</v>
      </c>
      <c r="Q96" s="422">
        <f>IF(O96&lt;0,0,O96)</f>
        <v>11.231999999999999</v>
      </c>
      <c r="R96" s="38" t="s">
        <v>9</v>
      </c>
      <c r="S96" s="441"/>
      <c r="T96" s="40"/>
      <c r="AD96" s="264"/>
      <c r="AE96" s="1250"/>
      <c r="AF96" s="40"/>
      <c r="AP96" s="264"/>
      <c r="AQ96" s="264" t="s">
        <v>527</v>
      </c>
    </row>
    <row r="97" spans="1:43" ht="34.5" customHeight="1">
      <c r="A97" s="1201" t="s">
        <v>540</v>
      </c>
      <c r="B97" s="3585" t="s">
        <v>1191</v>
      </c>
      <c r="C97" s="3586"/>
      <c r="D97" s="44" t="s">
        <v>4</v>
      </c>
      <c r="E97" s="1197" t="s">
        <v>536</v>
      </c>
      <c r="F97" s="85"/>
      <c r="G97" s="1245">
        <f>R.HN!C59</f>
        <v>8.1</v>
      </c>
      <c r="H97" s="34">
        <f>(G96-G97)*1.25</f>
        <v>2.1250000000000013</v>
      </c>
      <c r="I97" s="34" t="s">
        <v>432</v>
      </c>
      <c r="J97" s="35" t="s">
        <v>8</v>
      </c>
      <c r="K97" s="422" t="str">
        <f>IF(I97&lt;0,0,I97)</f>
        <v>N/A</v>
      </c>
      <c r="L97" s="211" t="s">
        <v>9</v>
      </c>
      <c r="M97" s="243">
        <f>R.HN!D59</f>
        <v>8</v>
      </c>
      <c r="N97" s="34">
        <f>(M96-M97)*1.25</f>
        <v>2.1249999999999991</v>
      </c>
      <c r="O97" s="34" t="s">
        <v>432</v>
      </c>
      <c r="P97" s="35" t="s">
        <v>8</v>
      </c>
      <c r="Q97" s="422" t="str">
        <f>IF(O97&lt;0,0,O97)</f>
        <v>N/A</v>
      </c>
      <c r="R97" s="38" t="s">
        <v>9</v>
      </c>
      <c r="S97" s="441"/>
      <c r="T97" s="40"/>
      <c r="AD97" s="264"/>
      <c r="AE97" s="1250"/>
      <c r="AF97" s="40"/>
      <c r="AP97" s="264"/>
      <c r="AQ97" s="264" t="s">
        <v>527</v>
      </c>
    </row>
    <row r="98" spans="1:43" ht="34.5" customHeight="1">
      <c r="A98" s="1201" t="s">
        <v>541</v>
      </c>
      <c r="B98" s="3587" t="s">
        <v>542</v>
      </c>
      <c r="C98" s="3588"/>
      <c r="D98" s="44" t="s">
        <v>4</v>
      </c>
      <c r="E98" s="1197" t="s">
        <v>543</v>
      </c>
      <c r="F98" s="96">
        <v>10</v>
      </c>
      <c r="G98" s="1245">
        <f>R.HN!C60</f>
        <v>3.95</v>
      </c>
      <c r="H98" s="34">
        <f>G98*2.08</f>
        <v>8.2160000000000011</v>
      </c>
      <c r="I98" s="34">
        <f>($F$98-H98)*1728/1000</f>
        <v>3.0827519999999979</v>
      </c>
      <c r="J98" s="35" t="s">
        <v>8</v>
      </c>
      <c r="K98" s="422">
        <f t="shared" si="10"/>
        <v>3.0827519999999979</v>
      </c>
      <c r="L98" s="211" t="s">
        <v>9</v>
      </c>
      <c r="M98" s="243">
        <f>R.HN!D60</f>
        <v>3.95</v>
      </c>
      <c r="N98" s="34">
        <v>8.5</v>
      </c>
      <c r="O98" s="34">
        <f>($F$98-N98)*1728/1000</f>
        <v>2.5920000000000001</v>
      </c>
      <c r="P98" s="35" t="s">
        <v>8</v>
      </c>
      <c r="Q98" s="422">
        <f t="shared" si="11"/>
        <v>2.5920000000000001</v>
      </c>
      <c r="R98" s="38" t="s">
        <v>9</v>
      </c>
      <c r="S98" s="441"/>
      <c r="T98" s="40"/>
      <c r="AD98" s="264"/>
      <c r="AE98" s="1250"/>
      <c r="AF98" s="40"/>
      <c r="AP98" s="264"/>
      <c r="AQ98" s="264" t="s">
        <v>527</v>
      </c>
    </row>
    <row r="99" spans="1:43" ht="34.5" customHeight="1">
      <c r="A99" s="1201" t="s">
        <v>544</v>
      </c>
      <c r="B99" s="3589"/>
      <c r="C99" s="3590"/>
      <c r="D99" s="44" t="s">
        <v>5</v>
      </c>
      <c r="E99" s="1197" t="s">
        <v>545</v>
      </c>
      <c r="F99" s="96"/>
      <c r="G99" s="1245"/>
      <c r="H99" s="608">
        <v>6.4</v>
      </c>
      <c r="I99" s="1266"/>
      <c r="J99" s="1266"/>
      <c r="K99" s="1213"/>
      <c r="L99" s="1267"/>
      <c r="M99" s="243"/>
      <c r="N99" s="608">
        <v>6.1</v>
      </c>
      <c r="O99" s="1213"/>
      <c r="P99" s="1213"/>
      <c r="Q99" s="1213"/>
      <c r="R99" s="1267"/>
      <c r="S99" s="441"/>
      <c r="T99" s="40"/>
      <c r="AD99" s="264"/>
      <c r="AE99" s="1250"/>
      <c r="AF99" s="40"/>
      <c r="AP99" s="264"/>
      <c r="AQ99" s="264" t="s">
        <v>527</v>
      </c>
    </row>
    <row r="100" spans="1:43" ht="34.5" hidden="1" customHeight="1">
      <c r="A100" s="1201" t="s">
        <v>546</v>
      </c>
      <c r="B100" s="3585" t="s">
        <v>547</v>
      </c>
      <c r="C100" s="3586"/>
      <c r="D100" s="1268" t="s">
        <v>5</v>
      </c>
      <c r="E100" s="47" t="s">
        <v>1397</v>
      </c>
      <c r="F100" s="1268"/>
      <c r="G100" s="1269"/>
      <c r="H100" s="608"/>
      <c r="I100" s="1213"/>
      <c r="J100" s="1213"/>
      <c r="K100" s="1213"/>
      <c r="L100" s="1267"/>
      <c r="M100" s="243"/>
      <c r="N100" s="608"/>
      <c r="O100" s="1213"/>
      <c r="P100" s="1213"/>
      <c r="Q100" s="1213"/>
      <c r="R100" s="1267"/>
      <c r="S100" s="444"/>
      <c r="T100" s="40"/>
      <c r="AD100" s="264"/>
      <c r="AE100" s="1250"/>
      <c r="AF100" s="40"/>
      <c r="AP100" s="264"/>
      <c r="AQ100" s="264" t="s">
        <v>527</v>
      </c>
    </row>
    <row r="101" spans="1:43" ht="34.5" hidden="1" customHeight="1">
      <c r="A101" s="1201" t="s">
        <v>548</v>
      </c>
      <c r="B101" s="3585" t="s">
        <v>549</v>
      </c>
      <c r="C101" s="3586"/>
      <c r="D101" s="1268" t="s">
        <v>5</v>
      </c>
      <c r="E101" s="47" t="s">
        <v>1397</v>
      </c>
      <c r="F101" s="1268"/>
      <c r="G101" s="1269"/>
      <c r="H101" s="608"/>
      <c r="I101" s="1213"/>
      <c r="J101" s="1213"/>
      <c r="K101" s="1213"/>
      <c r="L101" s="1267"/>
      <c r="M101" s="243"/>
      <c r="N101" s="608"/>
      <c r="O101" s="1213"/>
      <c r="P101" s="1213"/>
      <c r="Q101" s="1213"/>
      <c r="R101" s="1267"/>
      <c r="S101" s="444"/>
      <c r="T101" s="40"/>
      <c r="AD101" s="264"/>
      <c r="AE101" s="1250"/>
      <c r="AF101" s="40"/>
      <c r="AP101" s="264"/>
      <c r="AQ101" s="264" t="s">
        <v>527</v>
      </c>
    </row>
    <row r="102" spans="1:43" ht="34.5" customHeight="1">
      <c r="A102" s="1201" t="s">
        <v>550</v>
      </c>
      <c r="B102" s="3585" t="s">
        <v>551</v>
      </c>
      <c r="C102" s="3586"/>
      <c r="D102" s="1270" t="s">
        <v>5</v>
      </c>
      <c r="E102" s="47" t="s">
        <v>1397</v>
      </c>
      <c r="F102" s="1270"/>
      <c r="G102" s="1271"/>
      <c r="H102" s="608">
        <v>5.5</v>
      </c>
      <c r="I102" s="1213"/>
      <c r="J102" s="1213"/>
      <c r="K102" s="1213"/>
      <c r="L102" s="1267"/>
      <c r="M102" s="1272"/>
      <c r="N102" s="608">
        <v>5.6</v>
      </c>
      <c r="O102" s="1213"/>
      <c r="P102" s="1213"/>
      <c r="Q102" s="1213"/>
      <c r="R102" s="1267"/>
      <c r="S102" s="444"/>
      <c r="T102" s="40"/>
      <c r="AD102" s="264"/>
      <c r="AE102" s="1250"/>
      <c r="AF102" s="40"/>
      <c r="AP102" s="264"/>
      <c r="AQ102" s="264" t="s">
        <v>527</v>
      </c>
    </row>
    <row r="103" spans="1:43" ht="42" customHeight="1">
      <c r="A103" s="284" t="s">
        <v>72</v>
      </c>
      <c r="B103" s="285"/>
      <c r="C103" s="285"/>
      <c r="D103" s="285"/>
      <c r="E103" s="282"/>
      <c r="F103" s="285"/>
      <c r="G103" s="285"/>
      <c r="H103" s="285"/>
      <c r="I103" s="285"/>
      <c r="J103" s="285"/>
      <c r="K103" s="285"/>
      <c r="L103" s="285"/>
      <c r="M103" s="285"/>
      <c r="N103" s="286"/>
      <c r="O103" s="285"/>
      <c r="P103" s="285"/>
      <c r="Q103" s="285"/>
      <c r="R103" s="286"/>
      <c r="S103" s="285"/>
      <c r="T103" s="40"/>
      <c r="AD103" s="264"/>
      <c r="AE103" s="1250"/>
      <c r="AF103" s="40"/>
      <c r="AP103" s="264"/>
    </row>
    <row r="104" spans="1:43" ht="37.5" customHeight="1">
      <c r="A104" s="1200" t="s">
        <v>236</v>
      </c>
      <c r="B104" s="3410" t="s">
        <v>60</v>
      </c>
      <c r="C104" s="3586"/>
      <c r="D104" s="277" t="s">
        <v>62</v>
      </c>
      <c r="E104" s="277" t="s">
        <v>63</v>
      </c>
      <c r="F104" s="101"/>
      <c r="G104" s="101"/>
      <c r="H104" s="279" t="s">
        <v>45</v>
      </c>
      <c r="I104" s="280"/>
      <c r="J104" s="280"/>
      <c r="K104" s="279" t="s">
        <v>61</v>
      </c>
      <c r="L104" s="293"/>
      <c r="M104" s="277"/>
      <c r="N104" s="279" t="s">
        <v>45</v>
      </c>
      <c r="O104" s="280"/>
      <c r="P104" s="280"/>
      <c r="Q104" s="279" t="s">
        <v>61</v>
      </c>
      <c r="R104" s="293"/>
      <c r="S104" s="445"/>
      <c r="T104" s="40"/>
      <c r="AD104" s="264"/>
      <c r="AE104" s="1250"/>
      <c r="AF104" s="40"/>
      <c r="AP104" s="264"/>
      <c r="AQ104" s="264" t="s">
        <v>527</v>
      </c>
    </row>
    <row r="105" spans="1:43" ht="38.25" customHeight="1">
      <c r="A105" s="1201" t="s">
        <v>552</v>
      </c>
      <c r="B105" s="3585" t="s">
        <v>525</v>
      </c>
      <c r="C105" s="3586"/>
      <c r="D105" s="94" t="s">
        <v>104</v>
      </c>
      <c r="E105" s="14" t="s">
        <v>1089</v>
      </c>
      <c r="F105" s="41"/>
      <c r="G105" s="41"/>
      <c r="H105" s="3184">
        <v>61</v>
      </c>
      <c r="I105" s="3184"/>
      <c r="J105" s="3184"/>
      <c r="K105" s="3184">
        <v>62</v>
      </c>
      <c r="L105" s="3184"/>
      <c r="M105" s="1273"/>
      <c r="N105" s="3184">
        <v>59</v>
      </c>
      <c r="O105" s="3184"/>
      <c r="P105" s="3184"/>
      <c r="Q105" s="3184">
        <v>62</v>
      </c>
      <c r="R105" s="3184"/>
      <c r="S105" s="446"/>
      <c r="T105" s="40"/>
      <c r="AD105" s="264"/>
      <c r="AE105" s="1250"/>
      <c r="AF105" s="40"/>
      <c r="AP105" s="264"/>
      <c r="AQ105" s="264" t="s">
        <v>527</v>
      </c>
    </row>
    <row r="106" spans="1:43" ht="38.25" customHeight="1">
      <c r="A106" s="1201" t="s">
        <v>553</v>
      </c>
      <c r="B106" s="3585" t="s">
        <v>529</v>
      </c>
      <c r="C106" s="3586"/>
      <c r="D106" s="94" t="s">
        <v>104</v>
      </c>
      <c r="E106" s="14" t="s">
        <v>1089</v>
      </c>
      <c r="F106" s="41"/>
      <c r="G106" s="41"/>
      <c r="H106" s="3184">
        <v>60</v>
      </c>
      <c r="I106" s="3184"/>
      <c r="J106" s="3184"/>
      <c r="K106" s="3184">
        <v>63</v>
      </c>
      <c r="L106" s="3184"/>
      <c r="M106" s="1274"/>
      <c r="N106" s="3184">
        <v>55</v>
      </c>
      <c r="O106" s="3184"/>
      <c r="P106" s="3184"/>
      <c r="Q106" s="3184">
        <v>62</v>
      </c>
      <c r="R106" s="3184"/>
      <c r="S106" s="446"/>
      <c r="T106" s="40"/>
      <c r="AD106" s="264"/>
      <c r="AE106" s="1250"/>
      <c r="AF106" s="40"/>
      <c r="AP106" s="264"/>
      <c r="AQ106" s="264" t="s">
        <v>527</v>
      </c>
    </row>
    <row r="107" spans="1:43" ht="38.25" customHeight="1">
      <c r="A107" s="1201" t="s">
        <v>554</v>
      </c>
      <c r="B107" s="3585" t="s">
        <v>1192</v>
      </c>
      <c r="C107" s="3586"/>
      <c r="D107" s="94" t="s">
        <v>104</v>
      </c>
      <c r="E107" s="14" t="s">
        <v>1091</v>
      </c>
      <c r="F107" s="41"/>
      <c r="G107" s="41"/>
      <c r="H107" s="3184">
        <v>23</v>
      </c>
      <c r="I107" s="3184"/>
      <c r="J107" s="3184"/>
      <c r="K107" s="3184">
        <v>19</v>
      </c>
      <c r="L107" s="3184"/>
      <c r="M107" s="3184"/>
      <c r="N107" s="3184">
        <v>23</v>
      </c>
      <c r="O107" s="3184"/>
      <c r="P107" s="3184"/>
      <c r="Q107" s="3184">
        <v>19</v>
      </c>
      <c r="R107" s="3184"/>
      <c r="S107" s="446"/>
      <c r="T107" s="40"/>
      <c r="AD107" s="264"/>
      <c r="AE107" s="1250"/>
      <c r="AF107" s="40"/>
      <c r="AP107" s="264"/>
      <c r="AQ107" s="264" t="s">
        <v>527</v>
      </c>
    </row>
    <row r="108" spans="1:43" ht="38.25" customHeight="1">
      <c r="A108" s="1201" t="s">
        <v>555</v>
      </c>
      <c r="B108" s="3585" t="s">
        <v>1193</v>
      </c>
      <c r="C108" s="3586"/>
      <c r="D108" s="94" t="s">
        <v>104</v>
      </c>
      <c r="E108" s="14" t="s">
        <v>1091</v>
      </c>
      <c r="F108" s="41"/>
      <c r="G108" s="41"/>
      <c r="H108" s="3184">
        <v>23</v>
      </c>
      <c r="I108" s="3184"/>
      <c r="J108" s="3184"/>
      <c r="K108" s="3184">
        <v>19</v>
      </c>
      <c r="L108" s="3184"/>
      <c r="M108" s="3184"/>
      <c r="N108" s="3184">
        <v>23</v>
      </c>
      <c r="O108" s="3184"/>
      <c r="P108" s="3184"/>
      <c r="Q108" s="3184">
        <v>18</v>
      </c>
      <c r="R108" s="3184"/>
      <c r="S108" s="446"/>
      <c r="T108" s="40"/>
      <c r="AD108" s="264"/>
      <c r="AE108" s="1250"/>
      <c r="AF108" s="40"/>
      <c r="AP108" s="264"/>
      <c r="AQ108" s="264" t="s">
        <v>527</v>
      </c>
    </row>
    <row r="109" spans="1:43" ht="38.25" customHeight="1">
      <c r="A109" s="1201" t="s">
        <v>556</v>
      </c>
      <c r="B109" s="3585" t="s">
        <v>1194</v>
      </c>
      <c r="C109" s="3586"/>
      <c r="D109" s="94" t="s">
        <v>104</v>
      </c>
      <c r="E109" s="14" t="s">
        <v>1091</v>
      </c>
      <c r="F109" s="41"/>
      <c r="G109" s="41"/>
      <c r="H109" s="3184">
        <v>22</v>
      </c>
      <c r="I109" s="3184"/>
      <c r="J109" s="3184"/>
      <c r="K109" s="3184">
        <v>18</v>
      </c>
      <c r="L109" s="3184"/>
      <c r="M109" s="3184"/>
      <c r="N109" s="3184">
        <v>22</v>
      </c>
      <c r="O109" s="3184"/>
      <c r="P109" s="3184"/>
      <c r="Q109" s="3184">
        <v>18</v>
      </c>
      <c r="R109" s="3184"/>
      <c r="S109" s="446"/>
      <c r="T109" s="40"/>
      <c r="AD109" s="264"/>
      <c r="AE109" s="1250"/>
      <c r="AF109" s="40"/>
      <c r="AP109" s="264"/>
      <c r="AQ109" s="264" t="s">
        <v>527</v>
      </c>
    </row>
    <row r="110" spans="1:43" ht="38.25" customHeight="1">
      <c r="A110" s="1201" t="s">
        <v>557</v>
      </c>
      <c r="B110" s="3585" t="s">
        <v>558</v>
      </c>
      <c r="C110" s="3586"/>
      <c r="D110" s="94" t="s">
        <v>104</v>
      </c>
      <c r="E110" s="14" t="s">
        <v>1398</v>
      </c>
      <c r="F110" s="41"/>
      <c r="G110" s="41"/>
      <c r="H110" s="3184">
        <v>30</v>
      </c>
      <c r="I110" s="3184"/>
      <c r="J110" s="3184"/>
      <c r="K110" s="3184">
        <v>29</v>
      </c>
      <c r="L110" s="3184"/>
      <c r="M110" s="3184"/>
      <c r="N110" s="3184">
        <v>30</v>
      </c>
      <c r="O110" s="3184"/>
      <c r="P110" s="3184"/>
      <c r="Q110" s="3184">
        <v>29</v>
      </c>
      <c r="R110" s="3184"/>
      <c r="S110" s="446"/>
      <c r="T110" s="40"/>
      <c r="AD110" s="264"/>
      <c r="AE110" s="1250"/>
      <c r="AF110" s="40"/>
      <c r="AP110" s="264"/>
      <c r="AQ110" s="264" t="s">
        <v>527</v>
      </c>
    </row>
    <row r="111" spans="1:43" ht="38.25" hidden="1" customHeight="1">
      <c r="A111" s="1201" t="s">
        <v>559</v>
      </c>
      <c r="B111" s="3585" t="s">
        <v>547</v>
      </c>
      <c r="C111" s="3586"/>
      <c r="D111" s="94" t="s">
        <v>104</v>
      </c>
      <c r="E111" s="14" t="s">
        <v>1439</v>
      </c>
      <c r="F111" s="44"/>
      <c r="G111" s="44"/>
      <c r="H111" s="3184"/>
      <c r="I111" s="3184"/>
      <c r="J111" s="3184"/>
      <c r="K111" s="3184"/>
      <c r="L111" s="3184"/>
      <c r="M111" s="277"/>
      <c r="N111" s="3184"/>
      <c r="O111" s="3184"/>
      <c r="P111" s="3184"/>
      <c r="Q111" s="3184"/>
      <c r="R111" s="3184"/>
      <c r="S111" s="447"/>
      <c r="T111" s="40"/>
      <c r="AD111" s="264"/>
      <c r="AE111" s="1250"/>
      <c r="AF111" s="40"/>
      <c r="AP111" s="264"/>
      <c r="AQ111" s="264" t="s">
        <v>527</v>
      </c>
    </row>
    <row r="112" spans="1:43" ht="38.25" hidden="1" customHeight="1">
      <c r="A112" s="1201" t="s">
        <v>560</v>
      </c>
      <c r="B112" s="3585" t="s">
        <v>549</v>
      </c>
      <c r="C112" s="3586"/>
      <c r="D112" s="94" t="s">
        <v>104</v>
      </c>
      <c r="E112" s="14" t="s">
        <v>1440</v>
      </c>
      <c r="F112" s="44"/>
      <c r="G112" s="44"/>
      <c r="H112" s="3184"/>
      <c r="I112" s="3184"/>
      <c r="J112" s="3184"/>
      <c r="K112" s="3184"/>
      <c r="L112" s="3184"/>
      <c r="M112" s="1274"/>
      <c r="N112" s="3184"/>
      <c r="O112" s="3184"/>
      <c r="P112" s="3184"/>
      <c r="Q112" s="3184"/>
      <c r="R112" s="3184"/>
      <c r="S112" s="447"/>
      <c r="T112" s="40"/>
      <c r="AD112" s="264"/>
      <c r="AE112" s="1250"/>
      <c r="AF112" s="40"/>
      <c r="AP112" s="264"/>
      <c r="AQ112" s="264" t="s">
        <v>527</v>
      </c>
    </row>
    <row r="113" spans="1:43" ht="38.25" customHeight="1">
      <c r="A113" s="1201" t="s">
        <v>561</v>
      </c>
      <c r="B113" s="3585" t="s">
        <v>551</v>
      </c>
      <c r="C113" s="3586"/>
      <c r="D113" s="94" t="s">
        <v>104</v>
      </c>
      <c r="E113" s="14" t="s">
        <v>1439</v>
      </c>
      <c r="F113" s="44"/>
      <c r="G113" s="44"/>
      <c r="H113" s="3184">
        <v>65</v>
      </c>
      <c r="I113" s="3184"/>
      <c r="J113" s="3184"/>
      <c r="K113" s="3184">
        <v>61</v>
      </c>
      <c r="L113" s="3184"/>
      <c r="M113" s="277"/>
      <c r="N113" s="3184">
        <v>64</v>
      </c>
      <c r="O113" s="3184"/>
      <c r="P113" s="3184"/>
      <c r="Q113" s="3184">
        <v>61</v>
      </c>
      <c r="R113" s="3184"/>
      <c r="S113" s="447"/>
      <c r="T113" s="40"/>
      <c r="AD113" s="264"/>
      <c r="AE113" s="40"/>
      <c r="AF113" s="40"/>
      <c r="AP113" s="264"/>
      <c r="AQ113" s="264" t="s">
        <v>527</v>
      </c>
    </row>
    <row r="114" spans="1:43" ht="38.25" customHeight="1">
      <c r="A114" s="1201" t="s">
        <v>562</v>
      </c>
      <c r="B114" s="3585" t="s">
        <v>563</v>
      </c>
      <c r="C114" s="3586"/>
      <c r="D114" s="94" t="s">
        <v>104</v>
      </c>
      <c r="E114" s="14" t="s">
        <v>1095</v>
      </c>
      <c r="F114" s="44"/>
      <c r="G114" s="44"/>
      <c r="H114" s="3117" t="s">
        <v>46</v>
      </c>
      <c r="I114" s="3117"/>
      <c r="J114" s="3117"/>
      <c r="K114" s="3184">
        <v>104</v>
      </c>
      <c r="L114" s="3184"/>
      <c r="M114" s="1274"/>
      <c r="N114" s="3117" t="s">
        <v>46</v>
      </c>
      <c r="O114" s="3117"/>
      <c r="P114" s="3117"/>
      <c r="Q114" s="3184">
        <v>114</v>
      </c>
      <c r="R114" s="3184"/>
      <c r="S114" s="447"/>
      <c r="T114" s="40"/>
      <c r="AD114" s="264"/>
      <c r="AE114" s="40"/>
      <c r="AF114" s="40"/>
      <c r="AP114" s="264"/>
      <c r="AQ114" s="264" t="s">
        <v>527</v>
      </c>
    </row>
    <row r="115" spans="1:43" ht="38.25" customHeight="1">
      <c r="AE115" s="40"/>
    </row>
    <row r="116" spans="1:43">
      <c r="AE116" s="40"/>
    </row>
    <row r="117" spans="1:43">
      <c r="AE117" s="40"/>
    </row>
    <row r="118" spans="1:43">
      <c r="AE118" s="40"/>
    </row>
    <row r="119" spans="1:43">
      <c r="AE119" s="40"/>
    </row>
  </sheetData>
  <sheetProtection formatCells="0" formatColumns="0" formatRows="0" insertColumns="0" insertRows="0" insertHyperlinks="0" deleteColumns="0" deleteRows="0" selectLockedCells="1" sort="0" autoFilter="0" pivotTables="0"/>
  <mergeCells count="306">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T39:X39"/>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s>
  <phoneticPr fontId="7" type="noConversion"/>
  <conditionalFormatting sqref="H6:H7 H26 AL6:AL7 AF6:AF7 Z6:Z7 T6:T7 N6:N7 N26 T26 Z26 AF26 AL26 H42 N42 T42 Z42 AF42 AL42">
    <cfRule type="expression" dxfId="1422" priority="826">
      <formula>H6&lt;10</formula>
    </cfRule>
    <cfRule type="expression" dxfId="1421" priority="827">
      <formula>H6&gt;15</formula>
    </cfRule>
  </conditionalFormatting>
  <conditionalFormatting sqref="H27 AL8 AL11 AF8 AF11 Z8 Z11 T8 T11 N8 N11 H8 H11 N27 T27 Z27 AF27 AL27 H43 N43 T43 Z43 AF43 AL43">
    <cfRule type="expression" dxfId="1420" priority="824">
      <formula>H8&lt;40</formula>
    </cfRule>
    <cfRule type="expression" dxfId="1419" priority="825">
      <formula>H8&gt;60</formula>
    </cfRule>
  </conditionalFormatting>
  <conditionalFormatting sqref="H28 AL9 AL12 AF9 AF12 Z9 Z12 T9 T12 N9 N12 H9 H12 N28 T28 Z28 AF28 AL28 H44 N44 T44 Z44 AF44 AL44">
    <cfRule type="expression" dxfId="1418" priority="822">
      <formula>H9&lt;5.2</formula>
    </cfRule>
    <cfRule type="expression" dxfId="1417" priority="823">
      <formula>H9&gt;7.8</formula>
    </cfRule>
  </conditionalFormatting>
  <conditionalFormatting sqref="H29 AL10 AL13 AF10 AF13 Z10 Z13 T10 T13 N10 N13 H10 H13 N29 T29 Z29 AF29 AL29 H45 N45 T45 Z45 AF45 AL45">
    <cfRule type="expression" dxfId="1416" priority="821">
      <formula>H10&gt;0.4</formula>
    </cfRule>
  </conditionalFormatting>
  <conditionalFormatting sqref="H30 AL14 AF14 Z14 T14 N14 H14 N30 T30 Z30 AF30 AL30 H46 N46 T46 Z46 AF46 AL46">
    <cfRule type="expression" dxfId="1415" priority="819">
      <formula>H14&lt;0.8</formula>
    </cfRule>
    <cfRule type="expression" dxfId="1414" priority="820">
      <formula>H14&gt;1.2</formula>
    </cfRule>
  </conditionalFormatting>
  <conditionalFormatting sqref="AL47 AF47 Z47 T47 N47 H47 AL31 AF31 Z31 T31 N31 AL15 AF15 Z15 T15 N15 H15">
    <cfRule type="expression" dxfId="1413" priority="817">
      <formula>H15&lt;8</formula>
    </cfRule>
    <cfRule type="expression" dxfId="1412" priority="818">
      <formula>H15&gt;10</formula>
    </cfRule>
  </conditionalFormatting>
  <conditionalFormatting sqref="H25 N25 T25 Z25 AF25 AL25 H41 N41 T41 Z41 AF41 AL41">
    <cfRule type="expression" dxfId="1411" priority="815">
      <formula>H25&lt;30</formula>
    </cfRule>
    <cfRule type="expression" dxfId="1410" priority="816">
      <formula>H25&gt;50</formula>
    </cfRule>
  </conditionalFormatting>
  <conditionalFormatting sqref="N57:N59 H57:H59">
    <cfRule type="expression" dxfId="1409" priority="813">
      <formula>H57&lt;10</formula>
    </cfRule>
    <cfRule type="expression" dxfId="1408" priority="814">
      <formula>H57&gt;20</formula>
    </cfRule>
  </conditionalFormatting>
  <conditionalFormatting sqref="N60 H60">
    <cfRule type="expression" dxfId="1407" priority="811">
      <formula>H60&lt;5</formula>
    </cfRule>
    <cfRule type="expression" dxfId="1406" priority="812">
      <formula>H60&gt;15</formula>
    </cfRule>
  </conditionalFormatting>
  <conditionalFormatting sqref="N61 H61">
    <cfRule type="expression" dxfId="1405" priority="810">
      <formula>H61&gt;1.5</formula>
    </cfRule>
  </conditionalFormatting>
  <conditionalFormatting sqref="N62 H62">
    <cfRule type="expression" dxfId="1404" priority="808">
      <formula>H62&lt;20</formula>
    </cfRule>
    <cfRule type="expression" dxfId="1403" priority="809">
      <formula>H62&gt;25</formula>
    </cfRule>
  </conditionalFormatting>
  <conditionalFormatting sqref="N63 H63">
    <cfRule type="expression" dxfId="1402" priority="806">
      <formula>H63&lt;6</formula>
    </cfRule>
    <cfRule type="expression" dxfId="1401" priority="807">
      <formula>H63&gt;9</formula>
    </cfRule>
  </conditionalFormatting>
  <conditionalFormatting sqref="N64 H64">
    <cfRule type="expression" dxfId="1400" priority="804">
      <formula>H64&lt;7</formula>
    </cfRule>
    <cfRule type="expression" dxfId="1399" priority="805">
      <formula>H64&gt;10</formula>
    </cfRule>
  </conditionalFormatting>
  <conditionalFormatting sqref="N65:N66 H65:H66">
    <cfRule type="expression" dxfId="1398" priority="802">
      <formula>H65&lt;5.3</formula>
    </cfRule>
    <cfRule type="expression" dxfId="1397" priority="803">
      <formula>H65&gt;6</formula>
    </cfRule>
  </conditionalFormatting>
  <conditionalFormatting sqref="N89:N90 H89:H90">
    <cfRule type="expression" dxfId="1396" priority="800">
      <formula>H89&lt;20</formula>
    </cfRule>
    <cfRule type="expression" dxfId="1395" priority="801">
      <formula>H89&gt;30</formula>
    </cfRule>
  </conditionalFormatting>
  <conditionalFormatting sqref="N91 H91">
    <cfRule type="expression" dxfId="1394" priority="798">
      <formula>H91&lt;210</formula>
    </cfRule>
    <cfRule type="expression" dxfId="1393" priority="799">
      <formula>H91&gt;290</formula>
    </cfRule>
  </conditionalFormatting>
  <conditionalFormatting sqref="N92 N94 N96 H92 H94 H96">
    <cfRule type="expression" dxfId="1392" priority="796">
      <formula>H92&lt;120</formula>
    </cfRule>
    <cfRule type="expression" dxfId="1391" priority="797">
      <formula>H92&gt;150</formula>
    </cfRule>
  </conditionalFormatting>
  <conditionalFormatting sqref="N93 N95 N97 H93 H95 H97">
    <cfRule type="expression" dxfId="1390" priority="794">
      <formula>H93&lt;1</formula>
    </cfRule>
    <cfRule type="expression" dxfId="1389" priority="795">
      <formula>H93&gt;5</formula>
    </cfRule>
  </conditionalFormatting>
  <conditionalFormatting sqref="N98 H98">
    <cfRule type="expression" dxfId="1388" priority="792">
      <formula>H98&lt;8</formula>
    </cfRule>
    <cfRule type="expression" dxfId="1387" priority="793">
      <formula>H98&gt;12</formula>
    </cfRule>
  </conditionalFormatting>
  <conditionalFormatting sqref="N9 N12 H9 H12 H28 AL9 AL12 AF9 AF12 Z9 Z12 T9 T12 N28 T28 Z28 AF28 AL28 H44 N44 T44 Z44 AF44 AL44 K75:K81 Q75:Q81 H75:H80 N75:N80">
    <cfRule type="expression" dxfId="1386" priority="791">
      <formula>H9&lt;1</formula>
    </cfRule>
  </conditionalFormatting>
  <conditionalFormatting sqref="H67 H69">
    <cfRule type="expression" dxfId="1385" priority="789">
      <formula>H67&lt;12</formula>
    </cfRule>
    <cfRule type="expression" dxfId="1384" priority="790">
      <formula>H67&gt;18</formula>
    </cfRule>
  </conditionalFormatting>
  <conditionalFormatting sqref="H68 H70">
    <cfRule type="expression" dxfId="1383" priority="787">
      <formula>H68&lt;8</formula>
    </cfRule>
    <cfRule type="expression" dxfId="1382" priority="788">
      <formula>H68&gt;16</formula>
    </cfRule>
  </conditionalFormatting>
  <conditionalFormatting sqref="H18:L19 N18:R19 T18:X19 Z18:AD19 AF18:AJ19 AL18:AP19 H35:L35 N35:R35 T35:X35 Z35:AD35 AF35:AJ35 AL35:AP35 K51:L52 Q51:R52 W51:X52 AC51:AD52 AI51:AJ52 AO51:AP52 H51:AQ51">
    <cfRule type="expression" dxfId="1381" priority="785">
      <formula>H18&lt;65</formula>
    </cfRule>
    <cfRule type="expression" dxfId="1380" priority="786">
      <formula>H18&gt;85</formula>
    </cfRule>
  </conditionalFormatting>
  <conditionalFormatting sqref="H20:L20 N20:R20 T20:X20 Z20:AD20 AF20:AJ20 AL20:AP20 H36:L36 N36:R36 T36:X36 Z36:AD36 AF36:AJ36 AL36:AP36 H52:AQ52">
    <cfRule type="expression" dxfId="1379" priority="783">
      <formula>H20&lt;80</formula>
    </cfRule>
    <cfRule type="expression" dxfId="1378" priority="784">
      <formula>H20&gt;90</formula>
    </cfRule>
  </conditionalFormatting>
  <conditionalFormatting sqref="H34 K34 N34 Q34 T34 W34 Z34 AC34 AF34 AI34 AL34 AO34 H50 K50 N50 Q50 T50 W50 Z50 AC50 AF50 AI50 AL50 AO50 H111 H113 K111 K113 N111 N113 Q111 Q113">
    <cfRule type="expression" dxfId="1377" priority="685">
      <formula>H34&lt;55</formula>
    </cfRule>
    <cfRule type="expression" dxfId="1376" priority="686">
      <formula>H34&gt;65</formula>
    </cfRule>
  </conditionalFormatting>
  <conditionalFormatting sqref="K75:K77 Q75:Q77 H75:H77 N75:N77">
    <cfRule type="expression" dxfId="1375" priority="617">
      <formula>H75&lt;51</formula>
    </cfRule>
    <cfRule type="expression" dxfId="1374" priority="618">
      <formula>H75&gt;59</formula>
    </cfRule>
  </conditionalFormatting>
  <conditionalFormatting sqref="K78 Q78 H78 N78">
    <cfRule type="expression" dxfId="1373" priority="611">
      <formula>H78&lt;30</formula>
    </cfRule>
    <cfRule type="expression" dxfId="1372" priority="612">
      <formula>H78&gt;40</formula>
    </cfRule>
  </conditionalFormatting>
  <conditionalFormatting sqref="K79:K80 Q79:Q80 H79:H80 N79:N80">
    <cfRule type="expression" dxfId="1371" priority="608">
      <formula>H79&lt;26</formula>
    </cfRule>
    <cfRule type="expression" dxfId="1370" priority="609">
      <formula>H79&gt;32</formula>
    </cfRule>
  </conditionalFormatting>
  <conditionalFormatting sqref="K81 Q81">
    <cfRule type="expression" dxfId="1369" priority="587">
      <formula>K81&lt;170</formula>
    </cfRule>
    <cfRule type="expression" dxfId="1368" priority="588">
      <formula>K81&gt;220</formula>
    </cfRule>
  </conditionalFormatting>
  <conditionalFormatting sqref="H105:H106 K105:K106 N105:N106 Q105:Q106">
    <cfRule type="expression" dxfId="1367" priority="299">
      <formula>H105&lt;45</formula>
    </cfRule>
    <cfRule type="expression" dxfId="1366" priority="300">
      <formula>H105&gt;65</formula>
    </cfRule>
  </conditionalFormatting>
  <conditionalFormatting sqref="H99 N99">
    <cfRule type="expression" dxfId="1365" priority="297">
      <formula>H99&lt;6</formula>
    </cfRule>
    <cfRule type="expression" dxfId="1364" priority="298">
      <formula>H99&gt;8</formula>
    </cfRule>
  </conditionalFormatting>
  <conditionalFormatting sqref="K114 Q114">
    <cfRule type="expression" dxfId="1363" priority="287">
      <formula>K114&lt;100</formula>
    </cfRule>
    <cfRule type="expression" dxfId="1362" priority="288">
      <formula>K114&gt;110</formula>
    </cfRule>
  </conditionalFormatting>
  <conditionalFormatting sqref="H107:H109 K107:K109 N107:N109 Q107:Q109">
    <cfRule type="expression" dxfId="1361" priority="255">
      <formula>H107&lt;18</formula>
    </cfRule>
    <cfRule type="expression" dxfId="1360" priority="256">
      <formula>H107&gt;25</formula>
    </cfRule>
  </conditionalFormatting>
  <conditionalFormatting sqref="H100:H102 N100:N102">
    <cfRule type="expression" dxfId="1359" priority="247">
      <formula>H100&lt;5.5</formula>
    </cfRule>
    <cfRule type="expression" dxfId="1358" priority="248">
      <formula>H100&gt;6</formula>
    </cfRule>
  </conditionalFormatting>
  <conditionalFormatting sqref="H112 K112 N112 Q112">
    <cfRule type="expression" dxfId="1357" priority="233">
      <formula>H112&lt;42</formula>
    </cfRule>
    <cfRule type="expression" dxfId="1356" priority="234">
      <formula>H112&gt;47</formula>
    </cfRule>
  </conditionalFormatting>
  <conditionalFormatting sqref="H110 K110 N110 Q110">
    <cfRule type="expression" dxfId="1355" priority="199">
      <formula>H110&lt;45</formula>
    </cfRule>
    <cfRule type="expression" dxfId="1354" priority="200">
      <formula>H110&gt;60</formula>
    </cfRule>
  </conditionalFormatting>
  <conditionalFormatting sqref="H83">
    <cfRule type="expression" dxfId="1353" priority="3">
      <formula>H83&lt;800</formula>
    </cfRule>
    <cfRule type="expression" dxfId="1352" priority="4">
      <formula>H83&gt;1600</formula>
    </cfRule>
  </conditionalFormatting>
  <conditionalFormatting sqref="N83">
    <cfRule type="expression" dxfId="1351" priority="1">
      <formula>N83&lt;800</formula>
    </cfRule>
    <cfRule type="expression" dxfId="1350" priority="2">
      <formula>N83&gt;1600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2.xml><?xml version="1.0" encoding="utf-8"?>
<worksheet xmlns="http://schemas.openxmlformats.org/spreadsheetml/2006/main" xmlns:r="http://schemas.openxmlformats.org/officeDocument/2006/relationships">
  <sheetPr codeName="Sheet22">
    <tabColor rgb="FFFFC000"/>
  </sheetPr>
  <dimension ref="A1:AK34"/>
  <sheetViews>
    <sheetView topLeftCell="A10" zoomScale="55" zoomScaleNormal="55" workbookViewId="0">
      <selection activeCell="AN31" sqref="AN31"/>
    </sheetView>
  </sheetViews>
  <sheetFormatPr defaultRowHeight="15"/>
  <cols>
    <col min="1" max="1" width="5.75" style="2375" customWidth="1"/>
    <col min="2" max="2" width="8.875" style="31" customWidth="1"/>
    <col min="3" max="3" width="6.125" style="31" customWidth="1"/>
    <col min="4" max="4" width="2.875" style="31" customWidth="1"/>
    <col min="5" max="5" width="7.125" style="31" customWidth="1"/>
    <col min="6" max="6" width="9.25" style="19" customWidth="1"/>
    <col min="7" max="7" width="17.5" style="32" customWidth="1"/>
    <col min="8" max="8" width="12" style="19" customWidth="1"/>
    <col min="9" max="9" width="3.75" style="19" customWidth="1"/>
    <col min="10" max="10" width="6.875" style="19" customWidth="1"/>
    <col min="11" max="11" width="3.75" style="19" customWidth="1"/>
    <col min="12" max="12" width="11.5" style="19" customWidth="1"/>
    <col min="13" max="13" width="5" style="19" customWidth="1"/>
    <col min="14" max="14" width="5.375" style="19" customWidth="1"/>
    <col min="15" max="15" width="5.25" style="19" customWidth="1"/>
    <col min="16" max="19" width="8.875" style="19" customWidth="1"/>
    <col min="20" max="20" width="11.125" style="19" customWidth="1"/>
    <col min="21" max="21" width="5.5" style="19" customWidth="1"/>
    <col min="22" max="22" width="7" style="19" hidden="1" customWidth="1"/>
    <col min="23" max="23" width="0" style="19" hidden="1" customWidth="1"/>
    <col min="24" max="24" width="7.375" style="19" hidden="1" customWidth="1"/>
    <col min="25" max="25" width="9.5" style="19" hidden="1" customWidth="1"/>
    <col min="26" max="26" width="2.625" style="19" hidden="1" customWidth="1"/>
    <col min="27" max="27" width="10.625" style="19" hidden="1" customWidth="1"/>
    <col min="28" max="28" width="12.625" style="19" hidden="1" customWidth="1"/>
    <col min="29" max="29" width="13.75" style="19" hidden="1" customWidth="1"/>
    <col min="30" max="30" width="4" style="19" hidden="1" customWidth="1"/>
    <col min="31" max="31" width="7.125" style="19" hidden="1" customWidth="1"/>
    <col min="32" max="32" width="6" style="19" hidden="1" customWidth="1"/>
    <col min="33" max="33" width="15.875" style="19" hidden="1" customWidth="1"/>
    <col min="34" max="34" width="5.125" style="19" hidden="1" customWidth="1"/>
    <col min="35" max="35" width="6.75" style="19" hidden="1" customWidth="1"/>
    <col min="36" max="36" width="5.875" style="19" hidden="1" customWidth="1"/>
    <col min="37" max="37" width="11.625" style="19" hidden="1" customWidth="1"/>
    <col min="38" max="16384" width="9" style="19"/>
  </cols>
  <sheetData>
    <row r="1" spans="1:37" ht="36" customHeight="1">
      <c r="A1" s="3611" t="s">
        <v>564</v>
      </c>
      <c r="B1" s="3611"/>
      <c r="C1" s="3611"/>
      <c r="D1" s="3611"/>
      <c r="E1" s="3611"/>
      <c r="F1" s="3611"/>
      <c r="G1" s="3611"/>
      <c r="H1" s="3611"/>
      <c r="I1" s="3611"/>
      <c r="J1" s="3611"/>
      <c r="K1" s="3611"/>
      <c r="L1" s="3611"/>
      <c r="M1" s="3611"/>
      <c r="N1" s="3611"/>
      <c r="O1" s="3611"/>
      <c r="P1" s="3611"/>
      <c r="Q1" s="3611"/>
      <c r="R1" s="448"/>
      <c r="S1" s="448"/>
      <c r="T1" s="449">
        <f>'1. XL-1E kh'!$AG$1</f>
        <v>0</v>
      </c>
      <c r="V1" s="3611" t="s">
        <v>564</v>
      </c>
      <c r="W1" s="3611"/>
      <c r="X1" s="3611"/>
      <c r="Y1" s="3611"/>
      <c r="Z1" s="3611"/>
      <c r="AA1" s="3611"/>
      <c r="AB1" s="3611"/>
      <c r="AC1" s="3611"/>
      <c r="AD1" s="3611"/>
      <c r="AE1" s="3611"/>
      <c r="AF1" s="448"/>
      <c r="AG1" s="2337"/>
      <c r="AH1" s="2337"/>
      <c r="AI1" s="448"/>
      <c r="AJ1" s="448"/>
      <c r="AK1" s="449">
        <f>'1. XL-1E kh'!$AG$1</f>
        <v>0</v>
      </c>
    </row>
    <row r="2" spans="1:37" ht="51" customHeight="1">
      <c r="A2" s="3609" t="s">
        <v>565</v>
      </c>
      <c r="B2" s="3609"/>
      <c r="C2" s="3609"/>
      <c r="D2" s="3609"/>
      <c r="E2" s="3609"/>
      <c r="F2" s="3609"/>
      <c r="G2" s="3609"/>
      <c r="H2" s="3609"/>
      <c r="I2" s="3609"/>
      <c r="J2" s="3609"/>
      <c r="K2" s="3609"/>
      <c r="L2" s="3609"/>
      <c r="M2" s="3609"/>
      <c r="N2" s="3609"/>
      <c r="O2" s="3609"/>
      <c r="P2" s="3609"/>
      <c r="Q2" s="3610"/>
      <c r="R2" s="3366" t="s">
        <v>87</v>
      </c>
      <c r="S2" s="3200"/>
      <c r="T2" s="319" t="s">
        <v>88</v>
      </c>
      <c r="V2" s="3609" t="s">
        <v>565</v>
      </c>
      <c r="W2" s="3609"/>
      <c r="X2" s="3609"/>
      <c r="Y2" s="3609"/>
      <c r="Z2" s="3609"/>
      <c r="AA2" s="3609"/>
      <c r="AB2" s="3609"/>
      <c r="AC2" s="3609"/>
      <c r="AD2" s="3609"/>
      <c r="AE2" s="3609"/>
      <c r="AF2" s="3609"/>
      <c r="AG2" s="3609"/>
      <c r="AH2" s="3609"/>
      <c r="AI2" s="3366" t="s">
        <v>87</v>
      </c>
      <c r="AJ2" s="3200"/>
      <c r="AK2" s="2333" t="s">
        <v>88</v>
      </c>
    </row>
    <row r="3" spans="1:37" ht="43.5" customHeight="1">
      <c r="A3" s="2371"/>
      <c r="B3" s="450"/>
      <c r="C3" s="23"/>
      <c r="D3" s="23"/>
      <c r="E3" s="2377"/>
      <c r="F3" s="1990" t="str">
        <f>MENU!$AC$9</f>
        <v>Thứ 5,</v>
      </c>
      <c r="G3" s="1984" t="str">
        <f>MENU!$AD$9</f>
        <v>2024/08/01</v>
      </c>
      <c r="H3" s="451"/>
      <c r="I3" s="451"/>
      <c r="J3" s="451"/>
      <c r="K3" s="451"/>
      <c r="L3" s="451"/>
      <c r="M3" s="451"/>
      <c r="R3" s="3612" t="str">
        <f>'1. XL-1E kh'!$AD$3</f>
        <v>L.Yen</v>
      </c>
      <c r="S3" s="3613"/>
      <c r="T3" s="3" t="s">
        <v>11</v>
      </c>
      <c r="V3" s="2371"/>
      <c r="W3" s="450"/>
      <c r="X3" s="23"/>
      <c r="Y3" s="2377" t="s">
        <v>1565</v>
      </c>
      <c r="Z3" s="24"/>
      <c r="AA3" s="1990" t="str">
        <f>MENU!$AC$9</f>
        <v>Thứ 5,</v>
      </c>
      <c r="AB3" s="2334" t="str">
        <f>MENU!$AD$9</f>
        <v>2024/08/01</v>
      </c>
      <c r="AC3" s="451"/>
      <c r="AD3" s="451"/>
      <c r="AE3" s="451"/>
      <c r="AF3" s="451"/>
      <c r="AG3" s="451"/>
      <c r="AH3" s="451"/>
      <c r="AI3" s="3612" t="str">
        <f>MENU!$AE$7</f>
        <v>Trang</v>
      </c>
      <c r="AJ3" s="3613"/>
      <c r="AK3" s="3" t="s">
        <v>11</v>
      </c>
    </row>
    <row r="4" spans="1:37" s="457" customFormat="1" ht="42.75" customHeight="1">
      <c r="A4" s="3604" t="s">
        <v>7</v>
      </c>
      <c r="B4" s="3143" t="s">
        <v>75</v>
      </c>
      <c r="C4" s="3144"/>
      <c r="D4" s="3144"/>
      <c r="E4" s="3145"/>
      <c r="F4" s="3395" t="s">
        <v>92</v>
      </c>
      <c r="G4" s="3606" t="s">
        <v>63</v>
      </c>
      <c r="H4" s="3632" t="s">
        <v>566</v>
      </c>
      <c r="I4" s="3633"/>
      <c r="J4" s="3633"/>
      <c r="K4" s="3633"/>
      <c r="L4" s="3633"/>
      <c r="M4" s="3633"/>
      <c r="N4" s="3633"/>
      <c r="O4" s="3634"/>
      <c r="P4" s="3627" t="s">
        <v>698</v>
      </c>
      <c r="Q4" s="3628"/>
      <c r="R4" s="3628"/>
      <c r="S4" s="3629"/>
      <c r="T4" s="3600" t="s">
        <v>89</v>
      </c>
      <c r="V4" s="3614" t="s">
        <v>7</v>
      </c>
      <c r="W4" s="3615" t="s">
        <v>75</v>
      </c>
      <c r="X4" s="3616"/>
      <c r="Y4" s="3616"/>
      <c r="Z4" s="3617"/>
      <c r="AA4" s="3603" t="s">
        <v>92</v>
      </c>
      <c r="AB4" s="3606" t="s">
        <v>63</v>
      </c>
      <c r="AC4" s="452"/>
      <c r="AD4" s="453" t="s">
        <v>566</v>
      </c>
      <c r="AE4" s="454"/>
      <c r="AF4" s="454"/>
      <c r="AG4" s="454"/>
      <c r="AH4" s="454"/>
      <c r="AI4" s="455"/>
      <c r="AJ4" s="456"/>
      <c r="AK4" s="3600" t="s">
        <v>89</v>
      </c>
    </row>
    <row r="5" spans="1:37" s="457" customFormat="1" ht="31.5" customHeight="1">
      <c r="A5" s="3604"/>
      <c r="B5" s="3505"/>
      <c r="C5" s="3502"/>
      <c r="D5" s="3502"/>
      <c r="E5" s="3605"/>
      <c r="F5" s="3395"/>
      <c r="G5" s="3607"/>
      <c r="H5" s="3625">
        <v>0.375</v>
      </c>
      <c r="I5" s="3626"/>
      <c r="J5" s="3626"/>
      <c r="K5" s="3626"/>
      <c r="L5" s="3625">
        <v>0.875</v>
      </c>
      <c r="M5" s="3626"/>
      <c r="N5" s="3626"/>
      <c r="O5" s="3626"/>
      <c r="P5" s="3630">
        <v>0.375</v>
      </c>
      <c r="Q5" s="3456"/>
      <c r="R5" s="3631">
        <v>0.875</v>
      </c>
      <c r="S5" s="3629"/>
      <c r="T5" s="3305"/>
      <c r="V5" s="3614"/>
      <c r="W5" s="3618"/>
      <c r="X5" s="3619"/>
      <c r="Y5" s="3619"/>
      <c r="Z5" s="3620"/>
      <c r="AA5" s="3603"/>
      <c r="AB5" s="3607"/>
      <c r="AC5" s="3601">
        <v>0.875</v>
      </c>
      <c r="AD5" s="3602"/>
      <c r="AE5" s="3602"/>
      <c r="AF5" s="3602"/>
      <c r="AG5" s="3601">
        <v>0.125</v>
      </c>
      <c r="AH5" s="3602"/>
      <c r="AI5" s="3602"/>
      <c r="AJ5" s="3602"/>
      <c r="AK5" s="3305"/>
    </row>
    <row r="6" spans="1:37" s="457" customFormat="1" ht="37.5" customHeight="1">
      <c r="A6" s="3604"/>
      <c r="B6" s="3146"/>
      <c r="C6" s="3147"/>
      <c r="D6" s="3147"/>
      <c r="E6" s="3148"/>
      <c r="F6" s="3396"/>
      <c r="G6" s="3608"/>
      <c r="H6" s="1675" t="s">
        <v>567</v>
      </c>
      <c r="I6" s="3395" t="s">
        <v>1</v>
      </c>
      <c r="J6" s="3395"/>
      <c r="K6" s="3395"/>
      <c r="L6" s="1675" t="s">
        <v>567</v>
      </c>
      <c r="M6" s="3395" t="s">
        <v>1</v>
      </c>
      <c r="N6" s="3395"/>
      <c r="O6" s="3395"/>
      <c r="P6" s="2040" t="s">
        <v>701</v>
      </c>
      <c r="Q6" s="2041" t="s">
        <v>702</v>
      </c>
      <c r="R6" s="2040" t="s">
        <v>701</v>
      </c>
      <c r="S6" s="2041" t="s">
        <v>702</v>
      </c>
      <c r="T6" s="3217"/>
      <c r="V6" s="3614"/>
      <c r="W6" s="3621"/>
      <c r="X6" s="3622"/>
      <c r="Y6" s="3622"/>
      <c r="Z6" s="3623"/>
      <c r="AA6" s="3624"/>
      <c r="AB6" s="3608"/>
      <c r="AC6" s="458" t="s">
        <v>567</v>
      </c>
      <c r="AD6" s="3603" t="s">
        <v>1</v>
      </c>
      <c r="AE6" s="3603"/>
      <c r="AF6" s="3603"/>
      <c r="AG6" s="458" t="s">
        <v>567</v>
      </c>
      <c r="AH6" s="3603" t="s">
        <v>1</v>
      </c>
      <c r="AI6" s="3603"/>
      <c r="AJ6" s="3603"/>
      <c r="AK6" s="3217"/>
    </row>
    <row r="7" spans="1:37" ht="42" customHeight="1">
      <c r="A7" s="2372">
        <v>1</v>
      </c>
      <c r="B7" s="3256" t="s">
        <v>568</v>
      </c>
      <c r="C7" s="3369"/>
      <c r="D7" s="3369" t="s">
        <v>99</v>
      </c>
      <c r="E7" s="3257"/>
      <c r="F7" s="44" t="s">
        <v>429</v>
      </c>
      <c r="G7" s="101" t="s">
        <v>472</v>
      </c>
      <c r="H7" s="1482">
        <f>'R.FILE GOC'!H57</f>
        <v>15.3</v>
      </c>
      <c r="I7" s="1055" t="s">
        <v>8</v>
      </c>
      <c r="J7" s="55">
        <f>'R.FILE GOC'!K57</f>
        <v>0</v>
      </c>
      <c r="K7" s="56" t="s">
        <v>9</v>
      </c>
      <c r="L7" s="1482"/>
      <c r="M7" s="54"/>
      <c r="N7" s="55"/>
      <c r="O7" s="56"/>
      <c r="P7" s="563"/>
      <c r="Q7" s="564"/>
      <c r="R7" s="563"/>
      <c r="S7" s="564"/>
      <c r="T7" s="270"/>
      <c r="V7" s="2372">
        <v>1</v>
      </c>
      <c r="W7" s="3256" t="s">
        <v>568</v>
      </c>
      <c r="X7" s="3369"/>
      <c r="Y7" s="3369" t="s">
        <v>99</v>
      </c>
      <c r="Z7" s="3257"/>
      <c r="AA7" s="2332" t="s">
        <v>429</v>
      </c>
      <c r="AB7" s="101" t="s">
        <v>472</v>
      </c>
      <c r="AC7" s="1482">
        <f>'R.FILE GOC'!T57</f>
        <v>0</v>
      </c>
      <c r="AD7" s="1055" t="s">
        <v>8</v>
      </c>
      <c r="AE7" s="55">
        <f>'R.FILE GOC'!W57</f>
        <v>108.21599999999999</v>
      </c>
      <c r="AF7" s="56" t="s">
        <v>9</v>
      </c>
      <c r="AG7" s="1482">
        <f>'R.FILE GOC'!Z57</f>
        <v>0</v>
      </c>
      <c r="AH7" s="54" t="s">
        <v>8</v>
      </c>
      <c r="AI7" s="55">
        <f>'R.FILE GOC'!AC57</f>
        <v>108.21599999999999</v>
      </c>
      <c r="AJ7" s="56" t="s">
        <v>9</v>
      </c>
      <c r="AK7" s="270"/>
    </row>
    <row r="8" spans="1:37" ht="42" customHeight="1">
      <c r="A8" s="2372">
        <v>2</v>
      </c>
      <c r="B8" s="3256" t="s">
        <v>569</v>
      </c>
      <c r="C8" s="3369" t="s">
        <v>475</v>
      </c>
      <c r="D8" s="3369" t="s">
        <v>475</v>
      </c>
      <c r="E8" s="3257" t="s">
        <v>475</v>
      </c>
      <c r="F8" s="44" t="s">
        <v>429</v>
      </c>
      <c r="G8" s="101" t="s">
        <v>472</v>
      </c>
      <c r="H8" s="1482">
        <f>'R.FILE GOC'!H58</f>
        <v>15</v>
      </c>
      <c r="I8" s="1055" t="s">
        <v>8</v>
      </c>
      <c r="J8" s="55">
        <f>'R.FILE GOC'!K58</f>
        <v>0</v>
      </c>
      <c r="K8" s="56" t="s">
        <v>9</v>
      </c>
      <c r="L8" s="1482"/>
      <c r="M8" s="54"/>
      <c r="N8" s="55"/>
      <c r="O8" s="56"/>
      <c r="P8" s="563"/>
      <c r="Q8" s="564"/>
      <c r="R8" s="563"/>
      <c r="S8" s="564"/>
      <c r="T8" s="20"/>
      <c r="V8" s="2372">
        <v>2</v>
      </c>
      <c r="W8" s="3256" t="s">
        <v>569</v>
      </c>
      <c r="X8" s="3369" t="s">
        <v>475</v>
      </c>
      <c r="Y8" s="3369" t="s">
        <v>475</v>
      </c>
      <c r="Z8" s="3257" t="s">
        <v>475</v>
      </c>
      <c r="AA8" s="2332" t="s">
        <v>429</v>
      </c>
      <c r="AB8" s="101" t="s">
        <v>472</v>
      </c>
      <c r="AC8" s="1482">
        <f>'R.FILE GOC'!T58</f>
        <v>0</v>
      </c>
      <c r="AD8" s="1055" t="s">
        <v>8</v>
      </c>
      <c r="AE8" s="55">
        <f>'R.FILE GOC'!W58</f>
        <v>108.21599999999999</v>
      </c>
      <c r="AF8" s="56" t="s">
        <v>9</v>
      </c>
      <c r="AG8" s="1482">
        <f>'R.FILE GOC'!Z58</f>
        <v>0</v>
      </c>
      <c r="AH8" s="54" t="s">
        <v>8</v>
      </c>
      <c r="AI8" s="55">
        <f>'R.FILE GOC'!AC58</f>
        <v>108.21599999999999</v>
      </c>
      <c r="AJ8" s="56" t="s">
        <v>9</v>
      </c>
      <c r="AK8" s="20"/>
    </row>
    <row r="9" spans="1:37" ht="42" customHeight="1">
      <c r="A9" s="2372">
        <v>3</v>
      </c>
      <c r="B9" s="3256" t="s">
        <v>570</v>
      </c>
      <c r="C9" s="3369" t="s">
        <v>571</v>
      </c>
      <c r="D9" s="3369" t="s">
        <v>571</v>
      </c>
      <c r="E9" s="3257" t="s">
        <v>571</v>
      </c>
      <c r="F9" s="44" t="s">
        <v>429</v>
      </c>
      <c r="G9" s="101" t="s">
        <v>472</v>
      </c>
      <c r="H9" s="1482">
        <f>'R.FILE GOC'!H59</f>
        <v>15</v>
      </c>
      <c r="I9" s="1055" t="s">
        <v>8</v>
      </c>
      <c r="J9" s="55">
        <f>'R.FILE GOC'!K59</f>
        <v>0</v>
      </c>
      <c r="K9" s="56" t="s">
        <v>10</v>
      </c>
      <c r="L9" s="1482"/>
      <c r="M9" s="54"/>
      <c r="N9" s="55"/>
      <c r="O9" s="56"/>
      <c r="P9" s="563"/>
      <c r="Q9" s="564"/>
      <c r="R9" s="563"/>
      <c r="S9" s="564"/>
      <c r="T9" s="20"/>
      <c r="V9" s="2372">
        <v>3</v>
      </c>
      <c r="W9" s="3256" t="s">
        <v>570</v>
      </c>
      <c r="X9" s="3369" t="s">
        <v>571</v>
      </c>
      <c r="Y9" s="3369" t="s">
        <v>571</v>
      </c>
      <c r="Z9" s="3257" t="s">
        <v>571</v>
      </c>
      <c r="AA9" s="2332" t="s">
        <v>429</v>
      </c>
      <c r="AB9" s="101" t="s">
        <v>472</v>
      </c>
      <c r="AC9" s="1482">
        <f>'R.FILE GOC'!T59</f>
        <v>0</v>
      </c>
      <c r="AD9" s="1055" t="s">
        <v>8</v>
      </c>
      <c r="AE9" s="55">
        <f>'R.FILE GOC'!W59</f>
        <v>134.86500000000001</v>
      </c>
      <c r="AF9" s="56" t="s">
        <v>10</v>
      </c>
      <c r="AG9" s="1482">
        <f>'R.FILE GOC'!Z59</f>
        <v>0</v>
      </c>
      <c r="AH9" s="54" t="s">
        <v>8</v>
      </c>
      <c r="AI9" s="55">
        <f>'R.FILE GOC'!AC59</f>
        <v>134.86500000000001</v>
      </c>
      <c r="AJ9" s="56" t="s">
        <v>10</v>
      </c>
      <c r="AK9" s="20"/>
    </row>
    <row r="10" spans="1:37" ht="42" customHeight="1">
      <c r="A10" s="2372">
        <v>4</v>
      </c>
      <c r="B10" s="3256" t="s">
        <v>572</v>
      </c>
      <c r="C10" s="3369" t="s">
        <v>573</v>
      </c>
      <c r="D10" s="3369" t="s">
        <v>573</v>
      </c>
      <c r="E10" s="3257" t="s">
        <v>573</v>
      </c>
      <c r="F10" s="44" t="s">
        <v>429</v>
      </c>
      <c r="G10" s="101" t="s">
        <v>965</v>
      </c>
      <c r="H10" s="300">
        <f>'R.FILE GOC'!H60</f>
        <v>10.1</v>
      </c>
      <c r="I10" s="54" t="s">
        <v>8</v>
      </c>
      <c r="J10" s="55">
        <f>'R.FILE GOC'!K60</f>
        <v>0</v>
      </c>
      <c r="K10" s="56" t="s">
        <v>9</v>
      </c>
      <c r="L10" s="300"/>
      <c r="M10" s="54"/>
      <c r="N10" s="55"/>
      <c r="O10" s="56"/>
      <c r="P10" s="563"/>
      <c r="Q10" s="564"/>
      <c r="R10" s="563"/>
      <c r="S10" s="564"/>
      <c r="T10" s="270"/>
      <c r="V10" s="2372">
        <v>4</v>
      </c>
      <c r="W10" s="3256" t="s">
        <v>572</v>
      </c>
      <c r="X10" s="3369" t="s">
        <v>573</v>
      </c>
      <c r="Y10" s="3369" t="s">
        <v>573</v>
      </c>
      <c r="Z10" s="3257" t="s">
        <v>573</v>
      </c>
      <c r="AA10" s="2332" t="s">
        <v>429</v>
      </c>
      <c r="AB10" s="101" t="s">
        <v>965</v>
      </c>
      <c r="AC10" s="300">
        <f>'R.FILE GOC'!T60</f>
        <v>0</v>
      </c>
      <c r="AD10" s="54" t="s">
        <v>8</v>
      </c>
      <c r="AE10" s="55">
        <f>'R.FILE GOC'!W60</f>
        <v>124.63199999999999</v>
      </c>
      <c r="AF10" s="56" t="s">
        <v>9</v>
      </c>
      <c r="AG10" s="300">
        <f>'R.FILE GOC'!Z60</f>
        <v>0</v>
      </c>
      <c r="AH10" s="54" t="s">
        <v>8</v>
      </c>
      <c r="AI10" s="55">
        <f>'R.FILE GOC'!AC60</f>
        <v>124.63199999999999</v>
      </c>
      <c r="AJ10" s="56" t="s">
        <v>9</v>
      </c>
      <c r="AK10" s="270"/>
    </row>
    <row r="11" spans="1:37" ht="42" customHeight="1">
      <c r="A11" s="2372">
        <v>5</v>
      </c>
      <c r="B11" s="3594" t="s">
        <v>574</v>
      </c>
      <c r="C11" s="3595" t="s">
        <v>575</v>
      </c>
      <c r="D11" s="3595" t="s">
        <v>575</v>
      </c>
      <c r="E11" s="3596" t="s">
        <v>575</v>
      </c>
      <c r="F11" s="44" t="s">
        <v>429</v>
      </c>
      <c r="G11" s="101" t="s">
        <v>482</v>
      </c>
      <c r="H11" s="412">
        <f>'R.FILE GOC'!H61</f>
        <v>1.2</v>
      </c>
      <c r="I11" s="54" t="s">
        <v>8</v>
      </c>
      <c r="J11" s="55">
        <f>'R.FILE GOC'!K61</f>
        <v>0</v>
      </c>
      <c r="K11" s="56" t="s">
        <v>9</v>
      </c>
      <c r="L11" s="412"/>
      <c r="M11" s="54"/>
      <c r="N11" s="55"/>
      <c r="O11" s="56"/>
      <c r="P11" s="563"/>
      <c r="Q11" s="564"/>
      <c r="R11" s="563"/>
      <c r="S11" s="564"/>
      <c r="T11" s="20"/>
      <c r="V11" s="2372">
        <v>5</v>
      </c>
      <c r="W11" s="3594" t="s">
        <v>574</v>
      </c>
      <c r="X11" s="3595" t="s">
        <v>575</v>
      </c>
      <c r="Y11" s="3595" t="s">
        <v>575</v>
      </c>
      <c r="Z11" s="3596" t="s">
        <v>575</v>
      </c>
      <c r="AA11" s="2332" t="s">
        <v>429</v>
      </c>
      <c r="AB11" s="101" t="s">
        <v>482</v>
      </c>
      <c r="AC11" s="412">
        <f>'R.FILE GOC'!T61</f>
        <v>0</v>
      </c>
      <c r="AD11" s="54" t="s">
        <v>8</v>
      </c>
      <c r="AE11" s="55">
        <f>'R.FILE GOC'!W61</f>
        <v>0</v>
      </c>
      <c r="AF11" s="56" t="s">
        <v>9</v>
      </c>
      <c r="AG11" s="412">
        <f>'R.FILE GOC'!Z61</f>
        <v>0</v>
      </c>
      <c r="AH11" s="54" t="s">
        <v>8</v>
      </c>
      <c r="AI11" s="55">
        <f>'R.FILE GOC'!AC61</f>
        <v>0</v>
      </c>
      <c r="AJ11" s="56" t="s">
        <v>9</v>
      </c>
      <c r="AK11" s="20"/>
    </row>
    <row r="12" spans="1:37" ht="42" customHeight="1">
      <c r="A12" s="2372">
        <v>6</v>
      </c>
      <c r="B12" s="3594" t="s">
        <v>576</v>
      </c>
      <c r="C12" s="3595" t="s">
        <v>577</v>
      </c>
      <c r="D12" s="3595" t="s">
        <v>577</v>
      </c>
      <c r="E12" s="3596" t="s">
        <v>577</v>
      </c>
      <c r="F12" s="44" t="s">
        <v>429</v>
      </c>
      <c r="G12" s="101" t="s">
        <v>485</v>
      </c>
      <c r="H12" s="300">
        <f>'R.FILE GOC'!H62</f>
        <v>23.5</v>
      </c>
      <c r="I12" s="54" t="s">
        <v>8</v>
      </c>
      <c r="J12" s="55">
        <f>'R.FILE GOC'!K62</f>
        <v>0</v>
      </c>
      <c r="K12" s="56" t="s">
        <v>9</v>
      </c>
      <c r="L12" s="300"/>
      <c r="M12" s="54"/>
      <c r="N12" s="55"/>
      <c r="O12" s="56"/>
      <c r="P12" s="563"/>
      <c r="Q12" s="564"/>
      <c r="R12" s="563"/>
      <c r="S12" s="564"/>
      <c r="T12" s="270"/>
      <c r="V12" s="2372">
        <v>6</v>
      </c>
      <c r="W12" s="3594" t="s">
        <v>576</v>
      </c>
      <c r="X12" s="3595" t="s">
        <v>577</v>
      </c>
      <c r="Y12" s="3595" t="s">
        <v>577</v>
      </c>
      <c r="Z12" s="3596" t="s">
        <v>577</v>
      </c>
      <c r="AA12" s="2332" t="s">
        <v>429</v>
      </c>
      <c r="AB12" s="101" t="s">
        <v>485</v>
      </c>
      <c r="AC12" s="300">
        <f>'R.FILE GOC'!T62</f>
        <v>0</v>
      </c>
      <c r="AD12" s="54" t="s">
        <v>8</v>
      </c>
      <c r="AE12" s="55">
        <f>'R.FILE GOC'!W62</f>
        <v>213.84</v>
      </c>
      <c r="AF12" s="56" t="s">
        <v>9</v>
      </c>
      <c r="AG12" s="300">
        <f>'R.FILE GOC'!Z62</f>
        <v>0</v>
      </c>
      <c r="AH12" s="54" t="s">
        <v>8</v>
      </c>
      <c r="AI12" s="55">
        <f>'R.FILE GOC'!AC62</f>
        <v>213.84</v>
      </c>
      <c r="AJ12" s="56" t="s">
        <v>9</v>
      </c>
      <c r="AK12" s="270"/>
    </row>
    <row r="13" spans="1:37" ht="42" customHeight="1">
      <c r="A13" s="2372">
        <v>7</v>
      </c>
      <c r="B13" s="3594" t="s">
        <v>578</v>
      </c>
      <c r="C13" s="3595" t="s">
        <v>579</v>
      </c>
      <c r="D13" s="3595" t="s">
        <v>579</v>
      </c>
      <c r="E13" s="3596" t="s">
        <v>579</v>
      </c>
      <c r="F13" s="44" t="s">
        <v>429</v>
      </c>
      <c r="G13" s="101" t="s">
        <v>488</v>
      </c>
      <c r="H13" s="300">
        <f>'R.FILE GOC'!H63</f>
        <v>7.5</v>
      </c>
      <c r="I13" s="54" t="s">
        <v>8</v>
      </c>
      <c r="J13" s="55">
        <f>'R.FILE GOC'!K63</f>
        <v>0</v>
      </c>
      <c r="K13" s="56" t="s">
        <v>9</v>
      </c>
      <c r="L13" s="300"/>
      <c r="M13" s="54"/>
      <c r="N13" s="55"/>
      <c r="O13" s="56"/>
      <c r="P13" s="563"/>
      <c r="Q13" s="564"/>
      <c r="R13" s="563"/>
      <c r="S13" s="564"/>
      <c r="T13" s="20"/>
      <c r="V13" s="2372">
        <v>7</v>
      </c>
      <c r="W13" s="3594" t="s">
        <v>578</v>
      </c>
      <c r="X13" s="3595" t="s">
        <v>579</v>
      </c>
      <c r="Y13" s="3595" t="s">
        <v>579</v>
      </c>
      <c r="Z13" s="3596" t="s">
        <v>579</v>
      </c>
      <c r="AA13" s="2332" t="s">
        <v>429</v>
      </c>
      <c r="AB13" s="101" t="s">
        <v>488</v>
      </c>
      <c r="AC13" s="300">
        <f>'R.FILE GOC'!T63</f>
        <v>0</v>
      </c>
      <c r="AD13" s="54" t="s">
        <v>8</v>
      </c>
      <c r="AE13" s="55">
        <f>'R.FILE GOC'!W63</f>
        <v>7.8367500000000003</v>
      </c>
      <c r="AF13" s="56" t="s">
        <v>9</v>
      </c>
      <c r="AG13" s="300">
        <f>'R.FILE GOC'!Z63</f>
        <v>0</v>
      </c>
      <c r="AH13" s="54" t="s">
        <v>8</v>
      </c>
      <c r="AI13" s="55">
        <f>'R.FILE GOC'!AC63</f>
        <v>7.8367500000000003</v>
      </c>
      <c r="AJ13" s="56" t="s">
        <v>9</v>
      </c>
      <c r="AK13" s="20"/>
    </row>
    <row r="14" spans="1:37" ht="42" customHeight="1">
      <c r="A14" s="2372">
        <v>8</v>
      </c>
      <c r="B14" s="3256" t="s">
        <v>580</v>
      </c>
      <c r="C14" s="3369" t="s">
        <v>490</v>
      </c>
      <c r="D14" s="3369" t="s">
        <v>490</v>
      </c>
      <c r="E14" s="3257" t="s">
        <v>490</v>
      </c>
      <c r="F14" s="44" t="s">
        <v>5</v>
      </c>
      <c r="G14" s="101" t="s">
        <v>491</v>
      </c>
      <c r="H14" s="300">
        <f>'R.FILE GOC'!H64</f>
        <v>7.3</v>
      </c>
      <c r="I14" s="54"/>
      <c r="J14" s="55"/>
      <c r="K14" s="56"/>
      <c r="L14" s="300"/>
      <c r="M14" s="54"/>
      <c r="N14" s="55"/>
      <c r="O14" s="56"/>
      <c r="P14" s="563"/>
      <c r="Q14" s="564"/>
      <c r="R14" s="563"/>
      <c r="S14" s="564"/>
      <c r="T14" s="20"/>
      <c r="V14" s="2372">
        <v>8</v>
      </c>
      <c r="W14" s="3256" t="s">
        <v>580</v>
      </c>
      <c r="X14" s="3369" t="s">
        <v>490</v>
      </c>
      <c r="Y14" s="3369" t="s">
        <v>490</v>
      </c>
      <c r="Z14" s="3257" t="s">
        <v>490</v>
      </c>
      <c r="AA14" s="2332" t="s">
        <v>5</v>
      </c>
      <c r="AB14" s="101" t="s">
        <v>491</v>
      </c>
      <c r="AC14" s="300">
        <f>'R.FILE GOC'!T64</f>
        <v>0</v>
      </c>
      <c r="AD14" s="54"/>
      <c r="AE14" s="55">
        <f>'R.FILE GOC'!W64</f>
        <v>0</v>
      </c>
      <c r="AF14" s="56"/>
      <c r="AG14" s="300">
        <f>'R.FILE GOC'!Z64</f>
        <v>0</v>
      </c>
      <c r="AH14" s="54"/>
      <c r="AI14" s="55">
        <f>'R.FILE GOC'!AC64</f>
        <v>0</v>
      </c>
      <c r="AJ14" s="56"/>
      <c r="AK14" s="20"/>
    </row>
    <row r="15" spans="1:37" ht="42" customHeight="1">
      <c r="A15" s="2372">
        <v>9</v>
      </c>
      <c r="B15" s="3594" t="s">
        <v>581</v>
      </c>
      <c r="C15" s="3595" t="s">
        <v>579</v>
      </c>
      <c r="D15" s="3595" t="s">
        <v>579</v>
      </c>
      <c r="E15" s="3596" t="s">
        <v>579</v>
      </c>
      <c r="F15" s="44" t="s">
        <v>5</v>
      </c>
      <c r="G15" s="101" t="s">
        <v>494</v>
      </c>
      <c r="H15" s="459">
        <f>'R.FILE GOC'!H65</f>
        <v>5.4</v>
      </c>
      <c r="I15" s="54"/>
      <c r="J15" s="55"/>
      <c r="K15" s="56"/>
      <c r="L15" s="459"/>
      <c r="M15" s="54"/>
      <c r="N15" s="55"/>
      <c r="O15" s="56"/>
      <c r="P15" s="563"/>
      <c r="Q15" s="564"/>
      <c r="R15" s="563"/>
      <c r="S15" s="564"/>
      <c r="T15" s="20"/>
      <c r="V15" s="2372">
        <v>9</v>
      </c>
      <c r="W15" s="3594" t="s">
        <v>581</v>
      </c>
      <c r="X15" s="3595" t="s">
        <v>579</v>
      </c>
      <c r="Y15" s="3595" t="s">
        <v>579</v>
      </c>
      <c r="Z15" s="3596" t="s">
        <v>579</v>
      </c>
      <c r="AA15" s="2332" t="s">
        <v>5</v>
      </c>
      <c r="AB15" s="101" t="s">
        <v>494</v>
      </c>
      <c r="AC15" s="459">
        <f>'R.FILE GOC'!T65</f>
        <v>0</v>
      </c>
      <c r="AD15" s="54"/>
      <c r="AE15" s="55">
        <f>'R.FILE GOC'!W65</f>
        <v>0</v>
      </c>
      <c r="AF15" s="56"/>
      <c r="AG15" s="459">
        <f>'R.FILE GOC'!Z65</f>
        <v>0</v>
      </c>
      <c r="AH15" s="54"/>
      <c r="AI15" s="55"/>
      <c r="AJ15" s="56"/>
      <c r="AK15" s="20"/>
    </row>
    <row r="16" spans="1:37" ht="36.75" hidden="1" customHeight="1">
      <c r="A16" s="2372">
        <v>10</v>
      </c>
      <c r="B16" s="3594" t="s">
        <v>582</v>
      </c>
      <c r="C16" s="3595" t="s">
        <v>579</v>
      </c>
      <c r="D16" s="3595" t="s">
        <v>579</v>
      </c>
      <c r="E16" s="3596" t="s">
        <v>579</v>
      </c>
      <c r="F16" s="44" t="s">
        <v>5</v>
      </c>
      <c r="G16" s="101" t="s">
        <v>494</v>
      </c>
      <c r="H16" s="460">
        <f>'R.FILE GOC'!H66</f>
        <v>0</v>
      </c>
      <c r="I16" s="54"/>
      <c r="J16" s="55"/>
      <c r="K16" s="56"/>
      <c r="L16" s="460"/>
      <c r="M16" s="54"/>
      <c r="N16" s="55"/>
      <c r="O16" s="56"/>
      <c r="P16" s="563"/>
      <c r="Q16" s="564"/>
      <c r="R16" s="563"/>
      <c r="S16" s="564"/>
      <c r="T16" s="20"/>
      <c r="V16" s="2372">
        <v>10</v>
      </c>
      <c r="W16" s="3594" t="s">
        <v>582</v>
      </c>
      <c r="X16" s="3595" t="s">
        <v>579</v>
      </c>
      <c r="Y16" s="3595" t="s">
        <v>579</v>
      </c>
      <c r="Z16" s="3596" t="s">
        <v>579</v>
      </c>
      <c r="AA16" s="2332" t="s">
        <v>5</v>
      </c>
      <c r="AB16" s="101" t="s">
        <v>494</v>
      </c>
      <c r="AC16" s="460">
        <f>'R.FILE GOC'!Y66</f>
        <v>0</v>
      </c>
      <c r="AD16" s="54"/>
      <c r="AE16" s="55"/>
      <c r="AF16" s="56"/>
      <c r="AG16" s="460">
        <f>'R.FILE GOC'!AE66</f>
        <v>0</v>
      </c>
      <c r="AH16" s="54"/>
      <c r="AI16" s="55"/>
      <c r="AJ16" s="56"/>
      <c r="AK16" s="20"/>
    </row>
    <row r="17" spans="1:37" ht="39.75" customHeight="1">
      <c r="A17" s="2372">
        <v>11</v>
      </c>
      <c r="B17" s="3594" t="s">
        <v>371</v>
      </c>
      <c r="C17" s="3595"/>
      <c r="D17" s="3595"/>
      <c r="E17" s="3596"/>
      <c r="F17" s="44" t="s">
        <v>3</v>
      </c>
      <c r="G17" s="428" t="s">
        <v>372</v>
      </c>
      <c r="H17" s="429">
        <f>'R.FILE GOC'!H67</f>
        <v>15.035953785246829</v>
      </c>
      <c r="I17" s="54" t="s">
        <v>8</v>
      </c>
      <c r="J17" s="55">
        <f>'R.FILE GOC'!K67</f>
        <v>0</v>
      </c>
      <c r="K17" s="56" t="s">
        <v>10</v>
      </c>
      <c r="L17" s="986"/>
      <c r="M17" s="54"/>
      <c r="N17" s="55"/>
      <c r="O17" s="56"/>
      <c r="P17" s="2742" t="s">
        <v>966</v>
      </c>
      <c r="Q17" s="2743"/>
      <c r="R17" s="2742" t="s">
        <v>966</v>
      </c>
      <c r="S17" s="564"/>
      <c r="T17" s="986"/>
      <c r="V17" s="2372">
        <v>11</v>
      </c>
      <c r="W17" s="3594" t="s">
        <v>371</v>
      </c>
      <c r="X17" s="3595"/>
      <c r="Y17" s="3595"/>
      <c r="Z17" s="3596"/>
      <c r="AA17" s="2332" t="s">
        <v>3</v>
      </c>
      <c r="AB17" s="428" t="s">
        <v>372</v>
      </c>
      <c r="AC17" s="986" t="s">
        <v>966</v>
      </c>
      <c r="AD17" s="54" t="s">
        <v>8</v>
      </c>
      <c r="AE17" s="55">
        <f>'R.FILE GOC'!AB67</f>
        <v>0</v>
      </c>
      <c r="AF17" s="56" t="s">
        <v>10</v>
      </c>
      <c r="AG17" s="986" t="s">
        <v>966</v>
      </c>
      <c r="AH17" s="54"/>
      <c r="AI17" s="55"/>
      <c r="AJ17" s="56"/>
      <c r="AK17" s="986"/>
    </row>
    <row r="18" spans="1:37" ht="39.75" customHeight="1">
      <c r="A18" s="2372">
        <v>12</v>
      </c>
      <c r="B18" s="3594" t="s">
        <v>373</v>
      </c>
      <c r="C18" s="3595"/>
      <c r="D18" s="3595"/>
      <c r="E18" s="3596"/>
      <c r="F18" s="44" t="s">
        <v>3</v>
      </c>
      <c r="G18" s="428" t="s">
        <v>374</v>
      </c>
      <c r="H18" s="429">
        <f>'R.FILE GOC'!H68</f>
        <v>12.3</v>
      </c>
      <c r="I18" s="54" t="s">
        <v>8</v>
      </c>
      <c r="J18" s="55">
        <f>'R.FILE GOC'!K68</f>
        <v>0</v>
      </c>
      <c r="K18" s="56" t="s">
        <v>10</v>
      </c>
      <c r="L18" s="986"/>
      <c r="M18" s="54"/>
      <c r="N18" s="55"/>
      <c r="O18" s="56"/>
      <c r="P18" s="2742" t="s">
        <v>967</v>
      </c>
      <c r="Q18" s="2743"/>
      <c r="R18" s="2742" t="s">
        <v>967</v>
      </c>
      <c r="S18" s="564"/>
      <c r="T18" s="20"/>
      <c r="V18" s="2372">
        <v>12</v>
      </c>
      <c r="W18" s="3594" t="s">
        <v>373</v>
      </c>
      <c r="X18" s="3595"/>
      <c r="Y18" s="3595"/>
      <c r="Z18" s="3596"/>
      <c r="AA18" s="2332" t="s">
        <v>3</v>
      </c>
      <c r="AB18" s="428" t="s">
        <v>374</v>
      </c>
      <c r="AC18" s="986" t="s">
        <v>967</v>
      </c>
      <c r="AD18" s="54" t="s">
        <v>8</v>
      </c>
      <c r="AE18" s="55">
        <f>'R.FILE GOC'!AB68</f>
        <v>0</v>
      </c>
      <c r="AF18" s="56" t="s">
        <v>10</v>
      </c>
      <c r="AG18" s="986" t="s">
        <v>967</v>
      </c>
      <c r="AH18" s="54"/>
      <c r="AI18" s="55"/>
      <c r="AJ18" s="56"/>
      <c r="AK18" s="20"/>
    </row>
    <row r="19" spans="1:37" ht="36.75" hidden="1" customHeight="1">
      <c r="A19" s="2372">
        <v>13</v>
      </c>
      <c r="B19" s="3594" t="s">
        <v>375</v>
      </c>
      <c r="C19" s="3595"/>
      <c r="D19" s="3595"/>
      <c r="E19" s="3596"/>
      <c r="F19" s="44" t="s">
        <v>3</v>
      </c>
      <c r="G19" s="428" t="s">
        <v>372</v>
      </c>
      <c r="H19" s="430" t="str">
        <f>'R.FILE GOC'!H69</f>
        <v/>
      </c>
      <c r="I19" s="54"/>
      <c r="J19" s="55" t="str">
        <f>'R.FILE GOC'!K69</f>
        <v/>
      </c>
      <c r="K19" s="56"/>
      <c r="L19" s="986"/>
      <c r="M19" s="54"/>
      <c r="N19" s="55"/>
      <c r="O19" s="56"/>
      <c r="P19" s="2742"/>
      <c r="Q19" s="2743"/>
      <c r="R19" s="2742"/>
      <c r="S19" s="564"/>
      <c r="T19" s="20"/>
      <c r="V19" s="2372">
        <v>13</v>
      </c>
      <c r="W19" s="3594" t="s">
        <v>375</v>
      </c>
      <c r="X19" s="3595"/>
      <c r="Y19" s="3595"/>
      <c r="Z19" s="3596"/>
      <c r="AA19" s="2332" t="s">
        <v>3</v>
      </c>
      <c r="AB19" s="428" t="s">
        <v>372</v>
      </c>
      <c r="AC19" s="986"/>
      <c r="AD19" s="54"/>
      <c r="AE19" s="55">
        <f>'R.FILE GOC'!AB69</f>
        <v>0</v>
      </c>
      <c r="AF19" s="56"/>
      <c r="AG19" s="986"/>
      <c r="AH19" s="54"/>
      <c r="AI19" s="55"/>
      <c r="AJ19" s="56"/>
      <c r="AK19" s="20"/>
    </row>
    <row r="20" spans="1:37" ht="36.75" hidden="1" customHeight="1">
      <c r="A20" s="2372">
        <v>14</v>
      </c>
      <c r="B20" s="3594" t="s">
        <v>376</v>
      </c>
      <c r="C20" s="3595"/>
      <c r="D20" s="3595"/>
      <c r="E20" s="3596"/>
      <c r="F20" s="44" t="s">
        <v>3</v>
      </c>
      <c r="G20" s="428" t="s">
        <v>374</v>
      </c>
      <c r="H20" s="430" t="str">
        <f>'R.FILE GOC'!H70</f>
        <v/>
      </c>
      <c r="I20" s="54"/>
      <c r="J20" s="55" t="str">
        <f>'R.FILE GOC'!K70</f>
        <v/>
      </c>
      <c r="K20" s="56"/>
      <c r="L20" s="986"/>
      <c r="M20" s="54"/>
      <c r="N20" s="55"/>
      <c r="O20" s="56"/>
      <c r="P20" s="2742"/>
      <c r="Q20" s="2743"/>
      <c r="R20" s="2742"/>
      <c r="S20" s="564"/>
      <c r="T20" s="20"/>
      <c r="V20" s="2372">
        <v>14</v>
      </c>
      <c r="W20" s="3594" t="s">
        <v>376</v>
      </c>
      <c r="X20" s="3595"/>
      <c r="Y20" s="3595"/>
      <c r="Z20" s="3596"/>
      <c r="AA20" s="2332" t="s">
        <v>3</v>
      </c>
      <c r="AB20" s="428" t="s">
        <v>374</v>
      </c>
      <c r="AC20" s="986"/>
      <c r="AD20" s="54"/>
      <c r="AE20" s="55">
        <f>'R.FILE GOC'!AB70</f>
        <v>0</v>
      </c>
      <c r="AF20" s="56"/>
      <c r="AG20" s="986"/>
      <c r="AH20" s="54"/>
      <c r="AI20" s="55"/>
      <c r="AJ20" s="56"/>
      <c r="AK20" s="20"/>
    </row>
    <row r="21" spans="1:37" ht="41.25" customHeight="1">
      <c r="A21" s="2372">
        <v>15</v>
      </c>
      <c r="B21" s="3594" t="s">
        <v>377</v>
      </c>
      <c r="C21" s="3595" t="s">
        <v>377</v>
      </c>
      <c r="D21" s="3595" t="s">
        <v>377</v>
      </c>
      <c r="E21" s="3596" t="s">
        <v>377</v>
      </c>
      <c r="F21" s="44" t="s">
        <v>3</v>
      </c>
      <c r="G21" s="101" t="s">
        <v>378</v>
      </c>
      <c r="H21" s="59">
        <f>'R.FILE GOC'!H71</f>
        <v>0.43407043407043394</v>
      </c>
      <c r="I21" s="54"/>
      <c r="J21" s="55"/>
      <c r="K21" s="56"/>
      <c r="L21" s="986"/>
      <c r="M21" s="54"/>
      <c r="N21" s="55"/>
      <c r="O21" s="56"/>
      <c r="P21" s="2742" t="s">
        <v>966</v>
      </c>
      <c r="Q21" s="2743"/>
      <c r="R21" s="2742" t="s">
        <v>966</v>
      </c>
      <c r="S21" s="564"/>
      <c r="T21" s="20"/>
      <c r="V21" s="2372">
        <v>15</v>
      </c>
      <c r="W21" s="3594" t="s">
        <v>377</v>
      </c>
      <c r="X21" s="3595" t="s">
        <v>377</v>
      </c>
      <c r="Y21" s="3595" t="s">
        <v>377</v>
      </c>
      <c r="Z21" s="3596" t="s">
        <v>377</v>
      </c>
      <c r="AA21" s="2332" t="s">
        <v>3</v>
      </c>
      <c r="AB21" s="101" t="s">
        <v>378</v>
      </c>
      <c r="AC21" s="986" t="s">
        <v>966</v>
      </c>
      <c r="AD21" s="54"/>
      <c r="AE21" s="55"/>
      <c r="AF21" s="56"/>
      <c r="AG21" s="986" t="s">
        <v>966</v>
      </c>
      <c r="AH21" s="54"/>
      <c r="AI21" s="55"/>
      <c r="AJ21" s="56"/>
      <c r="AK21" s="20"/>
    </row>
    <row r="22" spans="1:37" ht="41.25" customHeight="1">
      <c r="A22" s="2372">
        <v>16</v>
      </c>
      <c r="B22" s="3594" t="s">
        <v>380</v>
      </c>
      <c r="C22" s="3595" t="s">
        <v>380</v>
      </c>
      <c r="D22" s="3595" t="s">
        <v>380</v>
      </c>
      <c r="E22" s="3596" t="s">
        <v>380</v>
      </c>
      <c r="F22" s="44" t="s">
        <v>3</v>
      </c>
      <c r="G22" s="101" t="s">
        <v>381</v>
      </c>
      <c r="H22" s="59">
        <f>'R.FILE GOC'!H72</f>
        <v>0.26837996096291455</v>
      </c>
      <c r="I22" s="54"/>
      <c r="J22" s="55"/>
      <c r="K22" s="56"/>
      <c r="L22" s="986"/>
      <c r="M22" s="54"/>
      <c r="N22" s="55"/>
      <c r="O22" s="56"/>
      <c r="P22" s="2742" t="s">
        <v>966</v>
      </c>
      <c r="Q22" s="2743"/>
      <c r="R22" s="2742" t="s">
        <v>966</v>
      </c>
      <c r="S22" s="564"/>
      <c r="T22" s="20"/>
      <c r="V22" s="2372">
        <v>16</v>
      </c>
      <c r="W22" s="3594" t="s">
        <v>380</v>
      </c>
      <c r="X22" s="3595" t="s">
        <v>380</v>
      </c>
      <c r="Y22" s="3595" t="s">
        <v>380</v>
      </c>
      <c r="Z22" s="3596" t="s">
        <v>380</v>
      </c>
      <c r="AA22" s="2332" t="s">
        <v>3</v>
      </c>
      <c r="AB22" s="101" t="s">
        <v>381</v>
      </c>
      <c r="AC22" s="986" t="s">
        <v>966</v>
      </c>
      <c r="AD22" s="54"/>
      <c r="AE22" s="55"/>
      <c r="AF22" s="56"/>
      <c r="AG22" s="986" t="s">
        <v>966</v>
      </c>
      <c r="AH22" s="54"/>
      <c r="AI22" s="55"/>
      <c r="AJ22" s="56"/>
      <c r="AK22" s="20"/>
    </row>
    <row r="23" spans="1:37" ht="47.25" customHeight="1">
      <c r="A23" s="2373"/>
      <c r="B23" s="461"/>
      <c r="C23" s="462"/>
      <c r="D23" s="462"/>
      <c r="E23" s="462"/>
      <c r="F23" s="462"/>
      <c r="G23" s="462"/>
      <c r="H23" s="463" t="s">
        <v>108</v>
      </c>
      <c r="I23" s="462"/>
      <c r="J23" s="462"/>
      <c r="K23" s="462"/>
      <c r="L23" s="462"/>
      <c r="M23" s="462"/>
      <c r="N23" s="462"/>
      <c r="O23" s="462"/>
      <c r="P23" s="462"/>
      <c r="Q23" s="462"/>
      <c r="R23" s="462"/>
      <c r="S23" s="462"/>
      <c r="T23" s="464"/>
      <c r="V23" s="2373"/>
      <c r="W23" s="461"/>
      <c r="X23" s="462"/>
      <c r="Y23" s="462"/>
      <c r="Z23" s="462"/>
      <c r="AA23" s="462"/>
      <c r="AB23" s="462"/>
      <c r="AC23" s="463" t="s">
        <v>108</v>
      </c>
      <c r="AD23" s="462"/>
      <c r="AE23" s="462"/>
      <c r="AF23" s="462"/>
      <c r="AG23" s="462"/>
      <c r="AH23" s="462"/>
      <c r="AI23" s="462"/>
      <c r="AJ23" s="462"/>
      <c r="AK23" s="464"/>
    </row>
    <row r="24" spans="1:37" ht="59.25" customHeight="1">
      <c r="A24" s="2374" t="s">
        <v>7</v>
      </c>
      <c r="B24" s="3597" t="s">
        <v>60</v>
      </c>
      <c r="C24" s="3598"/>
      <c r="D24" s="3598"/>
      <c r="E24" s="3599"/>
      <c r="F24" s="466" t="s">
        <v>62</v>
      </c>
      <c r="G24" s="321" t="s">
        <v>63</v>
      </c>
      <c r="H24" s="382" t="s">
        <v>45</v>
      </c>
      <c r="I24" s="3405" t="s">
        <v>61</v>
      </c>
      <c r="J24" s="3403"/>
      <c r="K24" s="3403"/>
      <c r="L24" s="382" t="s">
        <v>45</v>
      </c>
      <c r="M24" s="3405" t="s">
        <v>61</v>
      </c>
      <c r="N24" s="3403"/>
      <c r="O24" s="3403"/>
      <c r="P24" s="563"/>
      <c r="Q24" s="564"/>
      <c r="R24" s="563"/>
      <c r="S24" s="564"/>
      <c r="T24" s="325" t="s">
        <v>89</v>
      </c>
      <c r="V24" s="2374" t="s">
        <v>7</v>
      </c>
      <c r="W24" s="3597" t="s">
        <v>60</v>
      </c>
      <c r="X24" s="3598"/>
      <c r="Y24" s="3598"/>
      <c r="Z24" s="3599"/>
      <c r="AA24" s="466" t="s">
        <v>62</v>
      </c>
      <c r="AB24" s="2328" t="s">
        <v>63</v>
      </c>
      <c r="AC24" s="382" t="s">
        <v>45</v>
      </c>
      <c r="AD24" s="3405" t="s">
        <v>61</v>
      </c>
      <c r="AE24" s="3403"/>
      <c r="AF24" s="3403"/>
      <c r="AG24" s="382" t="s">
        <v>45</v>
      </c>
      <c r="AH24" s="3405" t="s">
        <v>61</v>
      </c>
      <c r="AI24" s="3403"/>
      <c r="AJ24" s="3403"/>
      <c r="AK24" s="325" t="s">
        <v>89</v>
      </c>
    </row>
    <row r="25" spans="1:37" ht="51" customHeight="1">
      <c r="A25" s="2374">
        <v>1</v>
      </c>
      <c r="B25" s="3410" t="s">
        <v>471</v>
      </c>
      <c r="C25" s="3411"/>
      <c r="D25" s="3411"/>
      <c r="E25" s="3412"/>
      <c r="F25" s="21" t="s">
        <v>104</v>
      </c>
      <c r="G25" s="101" t="s">
        <v>504</v>
      </c>
      <c r="H25" s="2341">
        <v>58</v>
      </c>
      <c r="I25" s="3591">
        <v>59</v>
      </c>
      <c r="J25" s="3592"/>
      <c r="K25" s="3593"/>
      <c r="L25" s="2341"/>
      <c r="M25" s="3591"/>
      <c r="N25" s="3592"/>
      <c r="O25" s="3593"/>
      <c r="P25" s="563"/>
      <c r="Q25" s="564"/>
      <c r="R25" s="563"/>
      <c r="S25" s="564"/>
      <c r="T25" s="20"/>
      <c r="V25" s="2374">
        <v>1</v>
      </c>
      <c r="W25" s="3410" t="s">
        <v>471</v>
      </c>
      <c r="X25" s="3411"/>
      <c r="Y25" s="3411"/>
      <c r="Z25" s="3412"/>
      <c r="AA25" s="21" t="s">
        <v>104</v>
      </c>
      <c r="AB25" s="101" t="s">
        <v>504</v>
      </c>
      <c r="AC25" s="2341">
        <f>'R.FILE GOC'!T75</f>
        <v>0</v>
      </c>
      <c r="AD25" s="3591">
        <f>'R.FILE GOC'!W75</f>
        <v>0</v>
      </c>
      <c r="AE25" s="3592"/>
      <c r="AF25" s="3593"/>
      <c r="AG25" s="2341">
        <f>'R.FILE GOC'!Z75</f>
        <v>0</v>
      </c>
      <c r="AH25" s="3591">
        <f>'R.FILE GOC'!AC75</f>
        <v>0</v>
      </c>
      <c r="AI25" s="3592"/>
      <c r="AJ25" s="3593"/>
      <c r="AK25" s="20"/>
    </row>
    <row r="26" spans="1:37" ht="51" customHeight="1">
      <c r="A26" s="2374">
        <v>2</v>
      </c>
      <c r="B26" s="3410" t="s">
        <v>475</v>
      </c>
      <c r="C26" s="3411" t="s">
        <v>475</v>
      </c>
      <c r="D26" s="3411" t="s">
        <v>475</v>
      </c>
      <c r="E26" s="3412" t="s">
        <v>475</v>
      </c>
      <c r="F26" s="21" t="s">
        <v>104</v>
      </c>
      <c r="G26" s="101" t="s">
        <v>504</v>
      </c>
      <c r="H26" s="2341">
        <v>57</v>
      </c>
      <c r="I26" s="3591">
        <v>58</v>
      </c>
      <c r="J26" s="3592"/>
      <c r="K26" s="3593"/>
      <c r="L26" s="2341"/>
      <c r="M26" s="3591"/>
      <c r="N26" s="3592"/>
      <c r="O26" s="3593"/>
      <c r="P26" s="563"/>
      <c r="Q26" s="564"/>
      <c r="R26" s="563"/>
      <c r="S26" s="564"/>
      <c r="T26" s="20"/>
      <c r="V26" s="2374">
        <v>2</v>
      </c>
      <c r="W26" s="3410" t="s">
        <v>475</v>
      </c>
      <c r="X26" s="3411" t="s">
        <v>475</v>
      </c>
      <c r="Y26" s="3411" t="s">
        <v>475</v>
      </c>
      <c r="Z26" s="3412" t="s">
        <v>475</v>
      </c>
      <c r="AA26" s="21" t="s">
        <v>104</v>
      </c>
      <c r="AB26" s="101" t="s">
        <v>504</v>
      </c>
      <c r="AC26" s="2341">
        <f>'R.FILE GOC'!T76</f>
        <v>0</v>
      </c>
      <c r="AD26" s="3591">
        <f>'R.FILE GOC'!W76</f>
        <v>0</v>
      </c>
      <c r="AE26" s="3592"/>
      <c r="AF26" s="3593"/>
      <c r="AG26" s="2341">
        <f>'R.FILE GOC'!Z76</f>
        <v>0</v>
      </c>
      <c r="AH26" s="3591">
        <f>'R.FILE GOC'!AC76</f>
        <v>0</v>
      </c>
      <c r="AI26" s="3592"/>
      <c r="AJ26" s="3593"/>
      <c r="AK26" s="20"/>
    </row>
    <row r="27" spans="1:37" ht="51" customHeight="1">
      <c r="A27" s="2374">
        <v>3</v>
      </c>
      <c r="B27" s="3410" t="s">
        <v>477</v>
      </c>
      <c r="C27" s="3411" t="s">
        <v>477</v>
      </c>
      <c r="D27" s="3411" t="s">
        <v>477</v>
      </c>
      <c r="E27" s="3412" t="s">
        <v>477</v>
      </c>
      <c r="F27" s="21" t="s">
        <v>104</v>
      </c>
      <c r="G27" s="101" t="s">
        <v>504</v>
      </c>
      <c r="H27" s="2341">
        <f>'R.FILE GOC'!H77</f>
        <v>58</v>
      </c>
      <c r="I27" s="3591">
        <f>'R.FILE GOC'!K77</f>
        <v>59</v>
      </c>
      <c r="J27" s="3592"/>
      <c r="K27" s="3593"/>
      <c r="L27" s="2341"/>
      <c r="M27" s="3591"/>
      <c r="N27" s="3592"/>
      <c r="O27" s="3593"/>
      <c r="P27" s="563"/>
      <c r="Q27" s="564"/>
      <c r="R27" s="563"/>
      <c r="S27" s="564"/>
      <c r="T27" s="20"/>
      <c r="V27" s="2374">
        <v>3</v>
      </c>
      <c r="W27" s="3410" t="s">
        <v>477</v>
      </c>
      <c r="X27" s="3411" t="s">
        <v>477</v>
      </c>
      <c r="Y27" s="3411" t="s">
        <v>477</v>
      </c>
      <c r="Z27" s="3412" t="s">
        <v>477</v>
      </c>
      <c r="AA27" s="21" t="s">
        <v>104</v>
      </c>
      <c r="AB27" s="101" t="s">
        <v>504</v>
      </c>
      <c r="AC27" s="2341">
        <f>'R.FILE GOC'!T77</f>
        <v>0</v>
      </c>
      <c r="AD27" s="3591">
        <f>'R.FILE GOC'!W77</f>
        <v>0</v>
      </c>
      <c r="AE27" s="3592"/>
      <c r="AF27" s="3593"/>
      <c r="AG27" s="2341">
        <f>'R.FILE GOC'!Z77</f>
        <v>0</v>
      </c>
      <c r="AH27" s="3591">
        <f>'R.FILE GOC'!AC77</f>
        <v>0</v>
      </c>
      <c r="AI27" s="3592"/>
      <c r="AJ27" s="3593"/>
      <c r="AK27" s="20"/>
    </row>
    <row r="28" spans="1:37" ht="51" customHeight="1">
      <c r="A28" s="2374">
        <v>4</v>
      </c>
      <c r="B28" s="3410" t="s">
        <v>963</v>
      </c>
      <c r="C28" s="3411" t="s">
        <v>508</v>
      </c>
      <c r="D28" s="3411" t="s">
        <v>508</v>
      </c>
      <c r="E28" s="3412" t="s">
        <v>508</v>
      </c>
      <c r="F28" s="21" t="s">
        <v>104</v>
      </c>
      <c r="G28" s="101" t="s">
        <v>509</v>
      </c>
      <c r="H28" s="2341">
        <f>'R.FILE GOC'!H78</f>
        <v>40</v>
      </c>
      <c r="I28" s="3591">
        <f>'R.FILE GOC'!K78</f>
        <v>34</v>
      </c>
      <c r="J28" s="3592"/>
      <c r="K28" s="3593"/>
      <c r="L28" s="2341"/>
      <c r="M28" s="3591"/>
      <c r="N28" s="3592"/>
      <c r="O28" s="3593"/>
      <c r="P28" s="563"/>
      <c r="Q28" s="564"/>
      <c r="R28" s="563"/>
      <c r="S28" s="564"/>
      <c r="T28" s="20"/>
      <c r="V28" s="2374">
        <v>4</v>
      </c>
      <c r="W28" s="3410" t="s">
        <v>963</v>
      </c>
      <c r="X28" s="3411" t="s">
        <v>508</v>
      </c>
      <c r="Y28" s="3411" t="s">
        <v>508</v>
      </c>
      <c r="Z28" s="3412" t="s">
        <v>508</v>
      </c>
      <c r="AA28" s="21" t="s">
        <v>104</v>
      </c>
      <c r="AB28" s="101" t="s">
        <v>509</v>
      </c>
      <c r="AC28" s="2341">
        <f>'R.FILE GOC'!T78</f>
        <v>0</v>
      </c>
      <c r="AD28" s="3591">
        <f>'R.FILE GOC'!W78</f>
        <v>0</v>
      </c>
      <c r="AE28" s="3592"/>
      <c r="AF28" s="3593"/>
      <c r="AG28" s="2341">
        <f>'R.FILE GOC'!Z78</f>
        <v>0</v>
      </c>
      <c r="AH28" s="3591">
        <f>'R.FILE GOC'!AC78</f>
        <v>0</v>
      </c>
      <c r="AI28" s="3592"/>
      <c r="AJ28" s="3593"/>
      <c r="AK28" s="20"/>
    </row>
    <row r="29" spans="1:37" ht="51" customHeight="1">
      <c r="A29" s="2374">
        <v>5</v>
      </c>
      <c r="B29" s="3410" t="s">
        <v>583</v>
      </c>
      <c r="C29" s="3411"/>
      <c r="D29" s="3411"/>
      <c r="E29" s="3412"/>
      <c r="F29" s="21" t="s">
        <v>104</v>
      </c>
      <c r="G29" s="101" t="s">
        <v>512</v>
      </c>
      <c r="H29" s="2341">
        <f>'R.FILE GOC'!H79</f>
        <v>31</v>
      </c>
      <c r="I29" s="3591">
        <f>'R.FILE GOC'!K79</f>
        <v>31</v>
      </c>
      <c r="J29" s="3592"/>
      <c r="K29" s="3593"/>
      <c r="L29" s="2341"/>
      <c r="M29" s="3591"/>
      <c r="N29" s="3592"/>
      <c r="O29" s="3593"/>
      <c r="P29" s="563"/>
      <c r="Q29" s="564"/>
      <c r="R29" s="563"/>
      <c r="S29" s="564"/>
      <c r="T29" s="20"/>
      <c r="V29" s="2374">
        <v>5</v>
      </c>
      <c r="W29" s="3410" t="s">
        <v>583</v>
      </c>
      <c r="X29" s="3411"/>
      <c r="Y29" s="3411"/>
      <c r="Z29" s="3412"/>
      <c r="AA29" s="21" t="s">
        <v>104</v>
      </c>
      <c r="AB29" s="101" t="s">
        <v>512</v>
      </c>
      <c r="AC29" s="2341">
        <f>'R.FILE GOC'!T79</f>
        <v>0</v>
      </c>
      <c r="AD29" s="3591">
        <f>'R.FILE GOC'!W79</f>
        <v>0</v>
      </c>
      <c r="AE29" s="3592"/>
      <c r="AF29" s="3593"/>
      <c r="AG29" s="2341">
        <f>'R.FILE GOC'!Z79</f>
        <v>0</v>
      </c>
      <c r="AH29" s="3591">
        <f>'R.FILE GOC'!AC79</f>
        <v>0</v>
      </c>
      <c r="AI29" s="3592"/>
      <c r="AJ29" s="3593"/>
      <c r="AK29" s="20"/>
    </row>
    <row r="30" spans="1:37" ht="43.5" hidden="1" customHeight="1">
      <c r="A30" s="2374">
        <v>6</v>
      </c>
      <c r="B30" s="3410" t="s">
        <v>584</v>
      </c>
      <c r="C30" s="3411"/>
      <c r="D30" s="3411"/>
      <c r="E30" s="3412"/>
      <c r="F30" s="21" t="s">
        <v>104</v>
      </c>
      <c r="G30" s="101" t="s">
        <v>512</v>
      </c>
      <c r="H30" s="2341">
        <f>'R.FILE GOC'!H80</f>
        <v>0</v>
      </c>
      <c r="I30" s="3591">
        <f>'R.FILE GOC'!K80</f>
        <v>0</v>
      </c>
      <c r="J30" s="3592"/>
      <c r="K30" s="3593"/>
      <c r="L30" s="2341"/>
      <c r="M30" s="3591"/>
      <c r="N30" s="3592"/>
      <c r="O30" s="3593"/>
      <c r="P30" s="563"/>
      <c r="Q30" s="564"/>
      <c r="R30" s="563"/>
      <c r="S30" s="564"/>
      <c r="T30" s="20"/>
      <c r="V30" s="2374">
        <v>6</v>
      </c>
      <c r="W30" s="3410" t="s">
        <v>584</v>
      </c>
      <c r="X30" s="3411"/>
      <c r="Y30" s="3411"/>
      <c r="Z30" s="3412"/>
      <c r="AA30" s="21" t="s">
        <v>104</v>
      </c>
      <c r="AB30" s="101" t="s">
        <v>512</v>
      </c>
      <c r="AC30" s="2341">
        <f>'R.FILE GOC'!T80</f>
        <v>0</v>
      </c>
      <c r="AD30" s="3591">
        <f>'R.FILE GOC'!W80</f>
        <v>0</v>
      </c>
      <c r="AE30" s="3592"/>
      <c r="AF30" s="3593"/>
      <c r="AG30" s="2341">
        <f>'R.FILE GOC'!Z80</f>
        <v>0</v>
      </c>
      <c r="AH30" s="3591">
        <f>'R.FILE GOC'!AC80</f>
        <v>0</v>
      </c>
      <c r="AI30" s="3592"/>
      <c r="AJ30" s="3593"/>
      <c r="AK30" s="20"/>
    </row>
    <row r="31" spans="1:37" ht="50.25" customHeight="1">
      <c r="A31" s="2374">
        <v>7</v>
      </c>
      <c r="B31" s="3410" t="s">
        <v>516</v>
      </c>
      <c r="C31" s="3411" t="s">
        <v>516</v>
      </c>
      <c r="D31" s="3411" t="s">
        <v>516</v>
      </c>
      <c r="E31" s="3412" t="s">
        <v>516</v>
      </c>
      <c r="F31" s="21" t="s">
        <v>104</v>
      </c>
      <c r="G31" s="101" t="s">
        <v>517</v>
      </c>
      <c r="H31" s="2340" t="str">
        <f>'R.FILE GOC'!H81</f>
        <v>\</v>
      </c>
      <c r="I31" s="3591">
        <v>190</v>
      </c>
      <c r="J31" s="3592"/>
      <c r="K31" s="3592"/>
      <c r="L31" s="2340"/>
      <c r="M31" s="3591"/>
      <c r="N31" s="3592"/>
      <c r="O31" s="3592"/>
      <c r="P31" s="563"/>
      <c r="Q31" s="564"/>
      <c r="R31" s="563"/>
      <c r="S31" s="564"/>
      <c r="T31" s="20"/>
      <c r="V31" s="2374">
        <v>7</v>
      </c>
      <c r="W31" s="3410" t="s">
        <v>516</v>
      </c>
      <c r="X31" s="3411" t="s">
        <v>516</v>
      </c>
      <c r="Y31" s="3411" t="s">
        <v>516</v>
      </c>
      <c r="Z31" s="3412" t="s">
        <v>516</v>
      </c>
      <c r="AA31" s="21" t="s">
        <v>104</v>
      </c>
      <c r="AB31" s="101" t="s">
        <v>517</v>
      </c>
      <c r="AC31" s="2340" t="str">
        <f>'R.FILE GOC'!T81</f>
        <v>\</v>
      </c>
      <c r="AD31" s="3591">
        <f>'R.FILE GOC'!W81</f>
        <v>0</v>
      </c>
      <c r="AE31" s="3592"/>
      <c r="AF31" s="3592"/>
      <c r="AG31" s="2340" t="str">
        <f>'R.FILE GOC'!Z81</f>
        <v>\</v>
      </c>
      <c r="AH31" s="3591">
        <f>'R.FILE GOC'!AC81</f>
        <v>0</v>
      </c>
      <c r="AI31" s="3592"/>
      <c r="AJ31" s="3592"/>
      <c r="AK31" s="20"/>
    </row>
    <row r="32" spans="1:37" ht="42.75" customHeight="1">
      <c r="A32" s="2373"/>
      <c r="B32" s="467"/>
      <c r="C32" s="468"/>
      <c r="D32" s="468"/>
      <c r="E32" s="468"/>
      <c r="F32" s="468"/>
      <c r="G32" s="468"/>
      <c r="H32" s="469" t="s">
        <v>518</v>
      </c>
      <c r="I32" s="468"/>
      <c r="J32" s="468"/>
      <c r="K32" s="468"/>
      <c r="L32" s="468"/>
      <c r="M32" s="468"/>
      <c r="N32" s="468"/>
      <c r="O32" s="468"/>
      <c r="P32" s="468"/>
      <c r="Q32" s="468"/>
      <c r="R32" s="468"/>
      <c r="S32" s="468"/>
      <c r="T32" s="470"/>
    </row>
    <row r="33" spans="1:20" ht="52.5" customHeight="1">
      <c r="A33" s="2374">
        <v>1</v>
      </c>
      <c r="B33" s="3256" t="s">
        <v>518</v>
      </c>
      <c r="C33" s="3369"/>
      <c r="D33" s="3369"/>
      <c r="E33" s="3257"/>
      <c r="F33" s="321" t="s">
        <v>519</v>
      </c>
      <c r="G33" s="321" t="s">
        <v>520</v>
      </c>
      <c r="H33" s="3405">
        <f>'R.FILE GOC'!H83</f>
        <v>986</v>
      </c>
      <c r="I33" s="3403"/>
      <c r="J33" s="3403"/>
      <c r="K33" s="3403"/>
      <c r="L33" s="3405"/>
      <c r="M33" s="3403"/>
      <c r="N33" s="3403"/>
      <c r="O33" s="3403"/>
      <c r="P33" s="563"/>
      <c r="Q33" s="564"/>
      <c r="R33" s="563"/>
      <c r="S33" s="564"/>
      <c r="T33" s="325"/>
    </row>
    <row r="34" spans="1:20" ht="52.5" hidden="1" customHeight="1">
      <c r="A34" s="2374">
        <v>2</v>
      </c>
      <c r="B34" s="3410" t="s">
        <v>521</v>
      </c>
      <c r="C34" s="3411"/>
      <c r="D34" s="3411"/>
      <c r="E34" s="3412"/>
      <c r="F34" s="321" t="s">
        <v>519</v>
      </c>
      <c r="G34" s="101" t="s">
        <v>522</v>
      </c>
      <c r="H34" s="3405">
        <f>'R.FILE GOC'!H84</f>
        <v>0</v>
      </c>
      <c r="I34" s="3403"/>
      <c r="J34" s="3403"/>
      <c r="K34" s="3403"/>
      <c r="L34" s="3405">
        <f>'R.FILE GOC'!N84</f>
        <v>0</v>
      </c>
      <c r="M34" s="3403"/>
      <c r="N34" s="3403"/>
      <c r="O34" s="3403"/>
      <c r="P34" s="2729"/>
      <c r="Q34" s="2729"/>
      <c r="R34" s="2729"/>
      <c r="S34" s="2729"/>
      <c r="T34" s="20"/>
    </row>
  </sheetData>
  <sheetProtection formatCells="0" formatColumns="0" formatRows="0" insertColumns="0" insertRows="0" insertHyperlinks="0" deleteColumns="0" deleteRows="0" selectLockedCells="1" sort="0" autoFilter="0" pivotTables="0"/>
  <mergeCells count="116">
    <mergeCell ref="B34:E34"/>
    <mergeCell ref="H34:K34"/>
    <mergeCell ref="L34:O34"/>
    <mergeCell ref="B31:E31"/>
    <mergeCell ref="I31:K31"/>
    <mergeCell ref="M31:O31"/>
    <mergeCell ref="B33:E33"/>
    <mergeCell ref="H33:K33"/>
    <mergeCell ref="L33:O33"/>
    <mergeCell ref="B28:E28"/>
    <mergeCell ref="I28:K28"/>
    <mergeCell ref="M28:O28"/>
    <mergeCell ref="B29:E29"/>
    <mergeCell ref="I29:K29"/>
    <mergeCell ref="M29:O29"/>
    <mergeCell ref="B30:E30"/>
    <mergeCell ref="I30:K30"/>
    <mergeCell ref="M30:O30"/>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AI2:AJ2"/>
    <mergeCell ref="AI3:AJ3"/>
    <mergeCell ref="V4:V6"/>
    <mergeCell ref="W4:Z6"/>
    <mergeCell ref="AA4:AA6"/>
    <mergeCell ref="AB4:AB6"/>
    <mergeCell ref="R2:S2"/>
    <mergeCell ref="R3:S3"/>
    <mergeCell ref="B13:E13"/>
    <mergeCell ref="T4:T6"/>
    <mergeCell ref="H5:K5"/>
    <mergeCell ref="L5:O5"/>
    <mergeCell ref="I6:K6"/>
    <mergeCell ref="M6:O6"/>
    <mergeCell ref="B7:E7"/>
    <mergeCell ref="B8:E8"/>
    <mergeCell ref="B9:E9"/>
    <mergeCell ref="B10:E10"/>
    <mergeCell ref="B11:E11"/>
    <mergeCell ref="B12:E12"/>
    <mergeCell ref="P4:S4"/>
    <mergeCell ref="P5:Q5"/>
    <mergeCell ref="R5:S5"/>
    <mergeCell ref="H4:O4"/>
    <mergeCell ref="A4:A6"/>
    <mergeCell ref="B4:E6"/>
    <mergeCell ref="F4:F6"/>
    <mergeCell ref="G4:G6"/>
    <mergeCell ref="A2:Q2"/>
    <mergeCell ref="A1:Q1"/>
    <mergeCell ref="W7:Z7"/>
    <mergeCell ref="W8:Z8"/>
    <mergeCell ref="W9:Z9"/>
    <mergeCell ref="V1:AE1"/>
    <mergeCell ref="V2:AH2"/>
    <mergeCell ref="W10:Z10"/>
    <mergeCell ref="W11:Z11"/>
    <mergeCell ref="AK4:AK6"/>
    <mergeCell ref="AC5:AF5"/>
    <mergeCell ref="AG5:AJ5"/>
    <mergeCell ref="AD6:AF6"/>
    <mergeCell ref="AH6:AJ6"/>
    <mergeCell ref="W17:Z17"/>
    <mergeCell ref="W18:Z18"/>
    <mergeCell ref="W19:Z19"/>
    <mergeCell ref="W20:Z20"/>
    <mergeCell ref="W21:Z21"/>
    <mergeCell ref="W12:Z12"/>
    <mergeCell ref="W13:Z13"/>
    <mergeCell ref="W14:Z14"/>
    <mergeCell ref="W15:Z15"/>
    <mergeCell ref="W16:Z16"/>
    <mergeCell ref="W26:Z26"/>
    <mergeCell ref="AD26:AF26"/>
    <mergeCell ref="AH26:AJ26"/>
    <mergeCell ref="W27:Z27"/>
    <mergeCell ref="AD27:AF27"/>
    <mergeCell ref="AH27:AJ27"/>
    <mergeCell ref="W22:Z22"/>
    <mergeCell ref="W24:Z24"/>
    <mergeCell ref="AD24:AF24"/>
    <mergeCell ref="AH24:AJ24"/>
    <mergeCell ref="W25:Z25"/>
    <mergeCell ref="AD25:AF25"/>
    <mergeCell ref="AH25:AJ25"/>
    <mergeCell ref="W30:Z30"/>
    <mergeCell ref="AD30:AF30"/>
    <mergeCell ref="AH30:AJ30"/>
    <mergeCell ref="W31:Z31"/>
    <mergeCell ref="AD31:AF31"/>
    <mergeCell ref="AH31:AJ31"/>
    <mergeCell ref="W28:Z28"/>
    <mergeCell ref="AD28:AF28"/>
    <mergeCell ref="AH28:AJ28"/>
    <mergeCell ref="W29:Z29"/>
    <mergeCell ref="AD29:AF29"/>
    <mergeCell ref="AH29:AJ29"/>
  </mergeCells>
  <phoneticPr fontId="7" type="noConversion"/>
  <conditionalFormatting sqref="H10 L10 AC10 AG10">
    <cfRule type="expression" dxfId="1349" priority="198">
      <formula>H10&lt;5</formula>
    </cfRule>
    <cfRule type="expression" dxfId="1348" priority="199">
      <formula>H10&gt;15</formula>
    </cfRule>
  </conditionalFormatting>
  <conditionalFormatting sqref="H11 L11 AC11 AG11">
    <cfRule type="expression" dxfId="1347" priority="197">
      <formula>H11&gt;1.5</formula>
    </cfRule>
  </conditionalFormatting>
  <conditionalFormatting sqref="H12 L12 AC12 AG12">
    <cfRule type="expression" dxfId="1346" priority="195">
      <formula>H12&lt;20</formula>
    </cfRule>
    <cfRule type="expression" dxfId="1345" priority="196">
      <formula>H12&gt;25</formula>
    </cfRule>
  </conditionalFormatting>
  <conditionalFormatting sqref="H13 L13 AC13 AG13">
    <cfRule type="expression" dxfId="1344" priority="193">
      <formula>H13&lt;6</formula>
    </cfRule>
    <cfRule type="expression" dxfId="1343" priority="194">
      <formula>H13&gt;9</formula>
    </cfRule>
  </conditionalFormatting>
  <conditionalFormatting sqref="H14 L14 AC14 AG14">
    <cfRule type="expression" dxfId="1342" priority="191">
      <formula>H14&lt;7</formula>
    </cfRule>
    <cfRule type="expression" dxfId="1341" priority="192">
      <formula>H14&gt;10</formula>
    </cfRule>
  </conditionalFormatting>
  <conditionalFormatting sqref="H15:H16 L15:L16 AC15:AC16 AG15:AG16">
    <cfRule type="expression" dxfId="1340" priority="189">
      <formula>H15&lt;5.3</formula>
    </cfRule>
    <cfRule type="expression" dxfId="1339" priority="190">
      <formula>H15&gt;6</formula>
    </cfRule>
  </conditionalFormatting>
  <conditionalFormatting sqref="H17 H19">
    <cfRule type="expression" dxfId="1338" priority="185">
      <formula>H17&lt;12</formula>
    </cfRule>
    <cfRule type="expression" dxfId="1337" priority="186">
      <formula>H17&gt;18</formula>
    </cfRule>
  </conditionalFormatting>
  <conditionalFormatting sqref="H18 H20">
    <cfRule type="expression" dxfId="1336" priority="181">
      <formula>H18&lt;8</formula>
    </cfRule>
    <cfRule type="expression" dxfId="1335" priority="182">
      <formula>H18&gt;16</formula>
    </cfRule>
  </conditionalFormatting>
  <conditionalFormatting sqref="AC25:AJ27 H25:O27">
    <cfRule type="expression" dxfId="1334" priority="150">
      <formula>H25&lt;51</formula>
    </cfRule>
    <cfRule type="expression" dxfId="1333" priority="151">
      <formula>H25&gt;59</formula>
    </cfRule>
  </conditionalFormatting>
  <conditionalFormatting sqref="AH31 I31 M31 AC25:AJ30 AD31 H25:O30">
    <cfRule type="expression" dxfId="1332" priority="149">
      <formula>H25&lt;1</formula>
    </cfRule>
  </conditionalFormatting>
  <conditionalFormatting sqref="AC28:AJ28 H28:O28">
    <cfRule type="expression" dxfId="1331" priority="144">
      <formula>H28&lt;30</formula>
    </cfRule>
    <cfRule type="expression" dxfId="1330" priority="145">
      <formula>H28&gt;40</formula>
    </cfRule>
  </conditionalFormatting>
  <conditionalFormatting sqref="AC29:AJ30 H29:O30">
    <cfRule type="expression" dxfId="1329" priority="141">
      <formula>H29&lt;26</formula>
    </cfRule>
    <cfRule type="expression" dxfId="1328" priority="142">
      <formula>H29&gt;32</formula>
    </cfRule>
  </conditionalFormatting>
  <conditionalFormatting sqref="I31 M31 AD31 AH31">
    <cfRule type="expression" dxfId="1327" priority="90">
      <formula>I31&lt;170</formula>
    </cfRule>
    <cfRule type="expression" dxfId="1326" priority="91">
      <formula>I31&gt;220</formula>
    </cfRule>
  </conditionalFormatting>
  <pageMargins left="0.56999999999999995" right="0.23622047244094499" top="0.26" bottom="0.34" header="0.118110236220472" footer="0.19"/>
  <pageSetup paperSize="9" scale="60" orientation="portrait" verticalDpi="300" r:id="rId1"/>
  <headerFooter alignWithMargins="0">
    <oddFooter>&amp;L&amp;10DCC No.：      Q4-CXVN-PC01-IS10-02&amp;C&amp;10Ver.： 01&amp;R&amp;10保存期限： 1 年</oddFooter>
  </headerFooter>
  <drawing r:id="rId2"/>
</worksheet>
</file>

<file path=xl/worksheets/sheet33.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473" customWidth="1"/>
    <col min="2" max="2" width="21.625" style="523" customWidth="1"/>
    <col min="3" max="3" width="21.625" style="523" hidden="1" customWidth="1"/>
    <col min="4" max="4" width="7.625" style="473" customWidth="1"/>
    <col min="5" max="5" width="14.375" style="473" customWidth="1"/>
    <col min="6" max="6" width="8.75" style="473" customWidth="1"/>
    <col min="7" max="7" width="2.375" style="473" customWidth="1"/>
    <col min="8" max="8" width="6.5" style="524" customWidth="1"/>
    <col min="9" max="9" width="3.125" style="524" customWidth="1"/>
    <col min="10" max="10" width="8.125" style="524" customWidth="1"/>
    <col min="11" max="11" width="2.5" style="524" customWidth="1"/>
    <col min="12" max="12" width="6.5" style="524" customWidth="1"/>
    <col min="13" max="13" width="3.75" style="524" customWidth="1"/>
    <col min="14" max="14" width="8.125" style="524" customWidth="1"/>
    <col min="15" max="15" width="2.5" style="524" customWidth="1"/>
    <col min="16" max="16" width="6.5" style="524" customWidth="1"/>
    <col min="17" max="17" width="3.75" style="524" customWidth="1"/>
    <col min="18" max="18" width="7.375" style="472" customWidth="1"/>
    <col min="19" max="19" width="5.75" style="472" customWidth="1"/>
    <col min="20" max="16384" width="9" style="473"/>
  </cols>
  <sheetData>
    <row r="1" spans="1:19" ht="33" customHeight="1">
      <c r="A1" s="3635" t="s">
        <v>585</v>
      </c>
      <c r="B1" s="3635"/>
      <c r="C1" s="3635"/>
      <c r="D1" s="3635"/>
      <c r="E1" s="3635"/>
      <c r="F1" s="3635"/>
      <c r="G1" s="3635"/>
      <c r="H1" s="3635"/>
      <c r="I1" s="3635"/>
      <c r="J1" s="3635"/>
      <c r="K1" s="3635"/>
      <c r="L1" s="3635"/>
      <c r="M1" s="3635"/>
      <c r="N1" s="471"/>
      <c r="O1" s="471"/>
      <c r="P1" s="471"/>
      <c r="Q1" s="471"/>
    </row>
    <row r="2" spans="1:19" ht="39.75" customHeight="1">
      <c r="A2" s="3636" t="s">
        <v>908</v>
      </c>
      <c r="B2" s="3636"/>
      <c r="C2" s="3636"/>
      <c r="D2" s="3636"/>
      <c r="E2" s="3636"/>
      <c r="F2" s="3636"/>
      <c r="G2" s="3636"/>
      <c r="H2" s="3636"/>
      <c r="I2" s="3636"/>
      <c r="J2" s="3636"/>
      <c r="K2" s="3636"/>
      <c r="L2" s="3636"/>
      <c r="M2" s="3636"/>
      <c r="N2" s="474"/>
      <c r="O2" s="474"/>
      <c r="P2" s="3637" t="s">
        <v>586</v>
      </c>
      <c r="Q2" s="3638"/>
      <c r="R2" s="3639" t="s">
        <v>587</v>
      </c>
      <c r="S2" s="3640"/>
    </row>
    <row r="3" spans="1:19" ht="22.5" customHeight="1">
      <c r="A3" s="475"/>
      <c r="B3" s="476" t="s">
        <v>588</v>
      </c>
      <c r="C3" s="476"/>
      <c r="D3" s="1991" t="str">
        <f>MENU!$AC$9</f>
        <v>Thứ 5,</v>
      </c>
      <c r="E3" s="1815" t="str">
        <f>MENU!$AD$9</f>
        <v>2024/08/01</v>
      </c>
      <c r="F3" s="475"/>
      <c r="G3" s="475"/>
      <c r="H3" s="475"/>
      <c r="I3" s="475"/>
      <c r="J3" s="479"/>
      <c r="K3" s="479"/>
      <c r="L3" s="479"/>
      <c r="M3" s="479"/>
      <c r="N3" s="479"/>
      <c r="O3" s="479"/>
      <c r="P3" s="3641" t="str">
        <f>'1.xi den'!$R$3</f>
        <v>L.Yen</v>
      </c>
      <c r="Q3" s="3642"/>
      <c r="R3" s="3643" t="s">
        <v>589</v>
      </c>
      <c r="S3" s="3644"/>
    </row>
    <row r="4" spans="1:19" s="481" customFormat="1" ht="33" customHeight="1">
      <c r="A4" s="3655" t="s">
        <v>590</v>
      </c>
      <c r="B4" s="3658" t="s">
        <v>591</v>
      </c>
      <c r="C4" s="480"/>
      <c r="D4" s="3658" t="s">
        <v>123</v>
      </c>
      <c r="E4" s="3659" t="s">
        <v>592</v>
      </c>
      <c r="F4" s="3661" t="s">
        <v>912</v>
      </c>
      <c r="G4" s="3662"/>
      <c r="H4" s="3662"/>
      <c r="I4" s="3662"/>
      <c r="J4" s="3662"/>
      <c r="K4" s="3662"/>
      <c r="L4" s="3662"/>
      <c r="M4" s="3662"/>
      <c r="N4" s="3662"/>
      <c r="O4" s="3662"/>
      <c r="P4" s="3662"/>
      <c r="Q4" s="3663"/>
      <c r="R4" s="3645" t="s">
        <v>594</v>
      </c>
      <c r="S4" s="3645"/>
    </row>
    <row r="5" spans="1:19" s="481" customFormat="1" ht="15.75" customHeight="1">
      <c r="A5" s="3656"/>
      <c r="B5" s="3658"/>
      <c r="C5" s="480"/>
      <c r="D5" s="3658"/>
      <c r="E5" s="3659"/>
      <c r="F5" s="3646">
        <v>0.375</v>
      </c>
      <c r="G5" s="3647"/>
      <c r="H5" s="3647"/>
      <c r="I5" s="3647"/>
      <c r="J5" s="3648">
        <v>0.5625</v>
      </c>
      <c r="K5" s="3649"/>
      <c r="L5" s="3649"/>
      <c r="M5" s="3650"/>
      <c r="N5" s="3648">
        <v>0.72916666666666663</v>
      </c>
      <c r="O5" s="3649"/>
      <c r="P5" s="3649"/>
      <c r="Q5" s="3650"/>
      <c r="R5" s="3645"/>
      <c r="S5" s="3645"/>
    </row>
    <row r="6" spans="1:19" s="481" customFormat="1" ht="44.25" customHeight="1">
      <c r="A6" s="3657"/>
      <c r="B6" s="3647"/>
      <c r="C6" s="482"/>
      <c r="D6" s="3647"/>
      <c r="E6" s="3660"/>
      <c r="F6" s="483" t="s">
        <v>595</v>
      </c>
      <c r="G6" s="3651" t="s">
        <v>596</v>
      </c>
      <c r="H6" s="3652"/>
      <c r="I6" s="3653"/>
      <c r="J6" s="483" t="s">
        <v>595</v>
      </c>
      <c r="K6" s="3664" t="s">
        <v>596</v>
      </c>
      <c r="L6" s="3665"/>
      <c r="M6" s="3666"/>
      <c r="N6" s="483" t="s">
        <v>595</v>
      </c>
      <c r="O6" s="3664" t="s">
        <v>596</v>
      </c>
      <c r="P6" s="3665"/>
      <c r="Q6" s="3666"/>
      <c r="R6" s="3654" t="s">
        <v>597</v>
      </c>
      <c r="S6" s="3654"/>
    </row>
    <row r="7" spans="1:19" ht="29.25" customHeight="1">
      <c r="A7" s="482">
        <v>1</v>
      </c>
      <c r="B7" s="484" t="s">
        <v>598</v>
      </c>
      <c r="C7" s="484"/>
      <c r="D7" s="485" t="s">
        <v>599</v>
      </c>
      <c r="E7" s="486" t="s">
        <v>600</v>
      </c>
      <c r="F7" s="487">
        <f>'R.FILE GOC'!H6</f>
        <v>0</v>
      </c>
      <c r="G7" s="488" t="s">
        <v>601</v>
      </c>
      <c r="H7" s="489">
        <f>'R.FILE GOC'!K6</f>
        <v>292.1875</v>
      </c>
      <c r="I7" s="482" t="s">
        <v>10</v>
      </c>
      <c r="J7" s="487">
        <f>'R.FILE GOC'!N6</f>
        <v>0</v>
      </c>
      <c r="K7" s="488" t="s">
        <v>601</v>
      </c>
      <c r="L7" s="489">
        <f>'R.FILE GOC'!Q6</f>
        <v>292.1875</v>
      </c>
      <c r="M7" s="482" t="s">
        <v>10</v>
      </c>
      <c r="N7" s="487">
        <f>'R.FILE GOC'!T6</f>
        <v>0</v>
      </c>
      <c r="O7" s="488" t="s">
        <v>601</v>
      </c>
      <c r="P7" s="489">
        <f>'R.FILE GOC'!W6</f>
        <v>292.1875</v>
      </c>
      <c r="Q7" s="482" t="s">
        <v>10</v>
      </c>
      <c r="R7" s="3667" t="s">
        <v>602</v>
      </c>
      <c r="S7" s="3667"/>
    </row>
    <row r="8" spans="1:19" ht="29.25" hidden="1" customHeight="1">
      <c r="A8" s="482">
        <v>2</v>
      </c>
      <c r="B8" s="484" t="s">
        <v>603</v>
      </c>
      <c r="C8" s="490"/>
      <c r="D8" s="485" t="s">
        <v>599</v>
      </c>
      <c r="E8" s="486" t="s">
        <v>600</v>
      </c>
      <c r="F8" s="491">
        <f>'R.FILE GOC'!H7</f>
        <v>0</v>
      </c>
      <c r="G8" s="492" t="s">
        <v>601</v>
      </c>
      <c r="H8" s="493">
        <f>'R.FILE GOC'!K7</f>
        <v>292.1875</v>
      </c>
      <c r="I8" s="209" t="s">
        <v>10</v>
      </c>
      <c r="J8" s="491">
        <f>'R.FILE GOC'!N7</f>
        <v>0</v>
      </c>
      <c r="K8" s="492" t="s">
        <v>601</v>
      </c>
      <c r="L8" s="493">
        <f>'R.FILE GOC'!Q7</f>
        <v>292.1875</v>
      </c>
      <c r="M8" s="209" t="s">
        <v>10</v>
      </c>
      <c r="N8" s="491">
        <f>'R.FILE GOC'!T7</f>
        <v>0</v>
      </c>
      <c r="O8" s="492" t="s">
        <v>601</v>
      </c>
      <c r="P8" s="493">
        <f>'R.FILE GOC'!W7</f>
        <v>292.1875</v>
      </c>
      <c r="Q8" s="209" t="s">
        <v>10</v>
      </c>
      <c r="R8" s="494"/>
      <c r="S8" s="494"/>
    </row>
    <row r="9" spans="1:19" ht="29.25" customHeight="1">
      <c r="A9" s="482">
        <v>3</v>
      </c>
      <c r="B9" s="3668" t="s">
        <v>604</v>
      </c>
      <c r="C9" s="495"/>
      <c r="D9" s="3671" t="s">
        <v>429</v>
      </c>
      <c r="E9" s="486" t="s">
        <v>605</v>
      </c>
      <c r="F9" s="487">
        <f>'R.FILE GOC'!H8</f>
        <v>0</v>
      </c>
      <c r="G9" s="488" t="s">
        <v>606</v>
      </c>
      <c r="H9" s="489">
        <f>'R.FILE GOC'!K8</f>
        <v>69.400000000000006</v>
      </c>
      <c r="I9" s="482" t="s">
        <v>607</v>
      </c>
      <c r="J9" s="487">
        <f>'R.FILE GOC'!N8</f>
        <v>0</v>
      </c>
      <c r="K9" s="488" t="s">
        <v>606</v>
      </c>
      <c r="L9" s="489">
        <f>'R.FILE GOC'!Q8</f>
        <v>69.400000000000006</v>
      </c>
      <c r="M9" s="482" t="s">
        <v>607</v>
      </c>
      <c r="N9" s="487">
        <f>'R.FILE GOC'!T8</f>
        <v>0</v>
      </c>
      <c r="O9" s="488" t="s">
        <v>606</v>
      </c>
      <c r="P9" s="489">
        <f>'R.FILE GOC'!W8</f>
        <v>69.400000000000006</v>
      </c>
      <c r="Q9" s="482" t="s">
        <v>607</v>
      </c>
      <c r="R9" s="3667" t="s">
        <v>608</v>
      </c>
      <c r="S9" s="3667"/>
    </row>
    <row r="10" spans="1:19" ht="29.25" customHeight="1">
      <c r="A10" s="482">
        <v>4</v>
      </c>
      <c r="B10" s="3669"/>
      <c r="C10" s="496"/>
      <c r="D10" s="3671"/>
      <c r="E10" s="486" t="s">
        <v>609</v>
      </c>
      <c r="F10" s="487">
        <f>'R.FILE GOC'!H9</f>
        <v>0</v>
      </c>
      <c r="G10" s="488" t="s">
        <v>606</v>
      </c>
      <c r="H10" s="489">
        <f>'R.FILE GOC'!K9</f>
        <v>4.5110000000000001</v>
      </c>
      <c r="I10" s="482" t="s">
        <v>607</v>
      </c>
      <c r="J10" s="487">
        <f>'R.FILE GOC'!N9</f>
        <v>0</v>
      </c>
      <c r="K10" s="488" t="s">
        <v>606</v>
      </c>
      <c r="L10" s="489">
        <f>'R.FILE GOC'!Q9</f>
        <v>4.5110000000000001</v>
      </c>
      <c r="M10" s="482" t="s">
        <v>607</v>
      </c>
      <c r="N10" s="487">
        <f>'R.FILE GOC'!T9</f>
        <v>0</v>
      </c>
      <c r="O10" s="488" t="s">
        <v>606</v>
      </c>
      <c r="P10" s="489">
        <f>'R.FILE GOC'!W9</f>
        <v>4.5110000000000001</v>
      </c>
      <c r="Q10" s="482" t="s">
        <v>607</v>
      </c>
      <c r="R10" s="3667" t="s">
        <v>610</v>
      </c>
      <c r="S10" s="3667"/>
    </row>
    <row r="11" spans="1:19" ht="29.25" customHeight="1">
      <c r="A11" s="482">
        <v>5</v>
      </c>
      <c r="B11" s="3670"/>
      <c r="C11" s="497"/>
      <c r="D11" s="3671"/>
      <c r="E11" s="486" t="s">
        <v>611</v>
      </c>
      <c r="F11" s="498">
        <f>'R.FILE GOC'!H10</f>
        <v>0</v>
      </c>
      <c r="G11" s="488" t="s">
        <v>606</v>
      </c>
      <c r="H11" s="489">
        <f>'R.FILE GOC'!K10</f>
        <v>0</v>
      </c>
      <c r="I11" s="482" t="s">
        <v>607</v>
      </c>
      <c r="J11" s="498">
        <f>'R.FILE GOC'!N10</f>
        <v>0</v>
      </c>
      <c r="K11" s="488" t="s">
        <v>606</v>
      </c>
      <c r="L11" s="489">
        <f>'R.FILE GOC'!Q10</f>
        <v>0</v>
      </c>
      <c r="M11" s="482" t="s">
        <v>607</v>
      </c>
      <c r="N11" s="498">
        <f>'R.FILE GOC'!T10</f>
        <v>0</v>
      </c>
      <c r="O11" s="488" t="s">
        <v>606</v>
      </c>
      <c r="P11" s="489">
        <f>'R.FILE GOC'!W10</f>
        <v>0</v>
      </c>
      <c r="Q11" s="482" t="s">
        <v>607</v>
      </c>
      <c r="R11" s="3667"/>
      <c r="S11" s="3667"/>
    </row>
    <row r="12" spans="1:19" ht="29.25" customHeight="1">
      <c r="A12" s="482">
        <v>6</v>
      </c>
      <c r="B12" s="3668" t="s">
        <v>612</v>
      </c>
      <c r="C12" s="495"/>
      <c r="D12" s="3671" t="s">
        <v>429</v>
      </c>
      <c r="E12" s="486" t="s">
        <v>605</v>
      </c>
      <c r="F12" s="487">
        <f>'R.FILE GOC'!H11</f>
        <v>0</v>
      </c>
      <c r="G12" s="488" t="s">
        <v>606</v>
      </c>
      <c r="H12" s="489">
        <f>'R.FILE GOC'!K11</f>
        <v>69.400000000000006</v>
      </c>
      <c r="I12" s="482"/>
      <c r="J12" s="487">
        <f>'R.FILE GOC'!N11</f>
        <v>0</v>
      </c>
      <c r="K12" s="488" t="s">
        <v>606</v>
      </c>
      <c r="L12" s="489">
        <f>'R.FILE GOC'!Q11</f>
        <v>69.400000000000006</v>
      </c>
      <c r="M12" s="482" t="s">
        <v>607</v>
      </c>
      <c r="N12" s="487">
        <f>'R.FILE GOC'!T11</f>
        <v>0</v>
      </c>
      <c r="O12" s="488" t="s">
        <v>606</v>
      </c>
      <c r="P12" s="489">
        <f>'R.FILE GOC'!W11</f>
        <v>69.400000000000006</v>
      </c>
      <c r="Q12" s="482" t="s">
        <v>607</v>
      </c>
      <c r="R12" s="3667" t="s">
        <v>608</v>
      </c>
      <c r="S12" s="3667"/>
    </row>
    <row r="13" spans="1:19" ht="29.25" customHeight="1">
      <c r="A13" s="482">
        <v>7</v>
      </c>
      <c r="B13" s="3669"/>
      <c r="C13" s="496"/>
      <c r="D13" s="3671"/>
      <c r="E13" s="486" t="s">
        <v>609</v>
      </c>
      <c r="F13" s="498">
        <f>'R.FILE GOC'!H12</f>
        <v>0</v>
      </c>
      <c r="G13" s="488" t="s">
        <v>606</v>
      </c>
      <c r="H13" s="489">
        <f>'R.FILE GOC'!K12</f>
        <v>4.5110000000000001</v>
      </c>
      <c r="I13" s="482"/>
      <c r="J13" s="498">
        <f>'R.FILE GOC'!N12</f>
        <v>0</v>
      </c>
      <c r="K13" s="488" t="s">
        <v>606</v>
      </c>
      <c r="L13" s="489">
        <f>'R.FILE GOC'!Q12</f>
        <v>4.5110000000000001</v>
      </c>
      <c r="M13" s="482" t="s">
        <v>607</v>
      </c>
      <c r="N13" s="498">
        <f>'R.FILE GOC'!T12</f>
        <v>0</v>
      </c>
      <c r="O13" s="488" t="s">
        <v>606</v>
      </c>
      <c r="P13" s="489">
        <f>'R.FILE GOC'!W12</f>
        <v>4.5110000000000001</v>
      </c>
      <c r="Q13" s="482" t="s">
        <v>607</v>
      </c>
      <c r="R13" s="3667" t="s">
        <v>610</v>
      </c>
      <c r="S13" s="3667"/>
    </row>
    <row r="14" spans="1:19" ht="29.25" customHeight="1">
      <c r="A14" s="482">
        <v>8</v>
      </c>
      <c r="B14" s="3670"/>
      <c r="C14" s="497"/>
      <c r="D14" s="3671"/>
      <c r="E14" s="486" t="s">
        <v>611</v>
      </c>
      <c r="F14" s="498">
        <f>'R.FILE GOC'!H13</f>
        <v>0</v>
      </c>
      <c r="G14" s="488" t="s">
        <v>606</v>
      </c>
      <c r="H14" s="489">
        <f>'R.FILE GOC'!K13</f>
        <v>0</v>
      </c>
      <c r="I14" s="482"/>
      <c r="J14" s="498">
        <f>'R.FILE GOC'!N13</f>
        <v>0</v>
      </c>
      <c r="K14" s="488" t="s">
        <v>606</v>
      </c>
      <c r="L14" s="489">
        <f>'R.FILE GOC'!Q13</f>
        <v>0</v>
      </c>
      <c r="M14" s="482" t="s">
        <v>607</v>
      </c>
      <c r="N14" s="498">
        <f>'R.FILE GOC'!T13</f>
        <v>0</v>
      </c>
      <c r="O14" s="488" t="s">
        <v>606</v>
      </c>
      <c r="P14" s="489">
        <f>'R.FILE GOC'!W13</f>
        <v>0</v>
      </c>
      <c r="Q14" s="482" t="s">
        <v>607</v>
      </c>
      <c r="R14" s="3667"/>
      <c r="S14" s="3667"/>
    </row>
    <row r="15" spans="1:19" s="502" customFormat="1" ht="29.25" customHeight="1">
      <c r="A15" s="482">
        <v>9</v>
      </c>
      <c r="B15" s="3676" t="s">
        <v>613</v>
      </c>
      <c r="C15" s="490"/>
      <c r="D15" s="499" t="s">
        <v>429</v>
      </c>
      <c r="E15" s="486" t="s">
        <v>439</v>
      </c>
      <c r="F15" s="487">
        <f>'R.FILE GOC'!H14</f>
        <v>0</v>
      </c>
      <c r="G15" s="488" t="s">
        <v>614</v>
      </c>
      <c r="H15" s="500">
        <f>'R.FILE GOC'!K14</f>
        <v>4.3680000000000003</v>
      </c>
      <c r="I15" s="501" t="s">
        <v>615</v>
      </c>
      <c r="J15" s="487">
        <f>'R.FILE GOC'!N14</f>
        <v>0</v>
      </c>
      <c r="K15" s="488" t="s">
        <v>614</v>
      </c>
      <c r="L15" s="500">
        <f>'R.FILE GOC'!Q14</f>
        <v>4.3680000000000003</v>
      </c>
      <c r="M15" s="501" t="s">
        <v>615</v>
      </c>
      <c r="N15" s="487">
        <f>'R.FILE GOC'!T14</f>
        <v>0</v>
      </c>
      <c r="O15" s="488" t="s">
        <v>614</v>
      </c>
      <c r="P15" s="500">
        <f>'R.FILE GOC'!W14</f>
        <v>4.3680000000000003</v>
      </c>
      <c r="Q15" s="501" t="s">
        <v>615</v>
      </c>
      <c r="R15" s="3667"/>
      <c r="S15" s="3667"/>
    </row>
    <row r="16" spans="1:19" s="502" customFormat="1" ht="29.25" customHeight="1">
      <c r="A16" s="482">
        <v>10</v>
      </c>
      <c r="B16" s="3677"/>
      <c r="C16" s="503"/>
      <c r="D16" s="499" t="s">
        <v>616</v>
      </c>
      <c r="E16" s="486" t="s">
        <v>617</v>
      </c>
      <c r="F16" s="487">
        <f>'R.FILE GOC'!H15</f>
        <v>0</v>
      </c>
      <c r="G16" s="488" t="s">
        <v>614</v>
      </c>
      <c r="H16" s="489"/>
      <c r="I16" s="501"/>
      <c r="J16" s="487">
        <f>'R.FILE GOC'!N15</f>
        <v>0</v>
      </c>
      <c r="K16" s="488" t="s">
        <v>614</v>
      </c>
      <c r="L16" s="489"/>
      <c r="M16" s="501"/>
      <c r="N16" s="487">
        <f>'R.FILE GOC'!T15</f>
        <v>0</v>
      </c>
      <c r="O16" s="488" t="s">
        <v>614</v>
      </c>
      <c r="P16" s="489"/>
      <c r="Q16" s="501"/>
      <c r="R16" s="3667"/>
      <c r="S16" s="3667"/>
    </row>
    <row r="17" spans="1:19" s="502" customFormat="1" ht="30" customHeight="1">
      <c r="A17" s="3658" t="s">
        <v>618</v>
      </c>
      <c r="B17" s="3658"/>
      <c r="C17" s="3658"/>
      <c r="D17" s="3658"/>
      <c r="E17" s="3658"/>
      <c r="F17" s="3658"/>
      <c r="G17" s="3658"/>
      <c r="H17" s="3658"/>
      <c r="I17" s="3658"/>
      <c r="J17" s="3658"/>
      <c r="K17" s="3658"/>
      <c r="L17" s="3658"/>
      <c r="M17" s="3658"/>
      <c r="N17" s="3658"/>
      <c r="O17" s="3658"/>
      <c r="P17" s="3658"/>
      <c r="Q17" s="3658"/>
      <c r="R17" s="3658"/>
      <c r="S17" s="3658"/>
    </row>
    <row r="18" spans="1:19" s="502" customFormat="1" ht="40.5" customHeight="1">
      <c r="A18" s="482" t="s">
        <v>619</v>
      </c>
      <c r="B18" s="504" t="s">
        <v>620</v>
      </c>
      <c r="C18" s="504"/>
      <c r="D18" s="480" t="s">
        <v>621</v>
      </c>
      <c r="E18" s="480" t="s">
        <v>622</v>
      </c>
      <c r="F18" s="3661" t="s">
        <v>623</v>
      </c>
      <c r="G18" s="3662"/>
      <c r="H18" s="3662"/>
      <c r="I18" s="3662"/>
      <c r="J18" s="3662"/>
      <c r="K18" s="3662"/>
      <c r="L18" s="3662"/>
      <c r="M18" s="3662"/>
      <c r="N18" s="3662"/>
      <c r="O18" s="3662"/>
      <c r="P18" s="3662"/>
      <c r="Q18" s="3663"/>
      <c r="R18" s="3672" t="s">
        <v>594</v>
      </c>
      <c r="S18" s="3673"/>
    </row>
    <row r="19" spans="1:19" s="502" customFormat="1" ht="28.5" customHeight="1">
      <c r="A19" s="482">
        <v>1</v>
      </c>
      <c r="B19" s="505" t="s">
        <v>443</v>
      </c>
      <c r="C19" s="505"/>
      <c r="D19" s="506" t="s">
        <v>624</v>
      </c>
      <c r="E19" s="507" t="s">
        <v>625</v>
      </c>
      <c r="F19" s="3674">
        <f>'R.FILE GOC'!H18</f>
        <v>0</v>
      </c>
      <c r="G19" s="3675"/>
      <c r="H19" s="3675"/>
      <c r="I19" s="3675"/>
      <c r="J19" s="3674">
        <f>'R.FILE GOC'!N18</f>
        <v>0</v>
      </c>
      <c r="K19" s="3675"/>
      <c r="L19" s="3675"/>
      <c r="M19" s="3675"/>
      <c r="N19" s="3674">
        <f>'R.FILE GOC'!T18</f>
        <v>0</v>
      </c>
      <c r="O19" s="3675"/>
      <c r="P19" s="3675"/>
      <c r="Q19" s="3675"/>
      <c r="R19" s="508"/>
      <c r="S19" s="508"/>
    </row>
    <row r="20" spans="1:19" s="502" customFormat="1" ht="28.5" customHeight="1">
      <c r="A20" s="482">
        <v>2</v>
      </c>
      <c r="B20" s="505" t="s">
        <v>445</v>
      </c>
      <c r="C20" s="505"/>
      <c r="D20" s="506" t="s">
        <v>624</v>
      </c>
      <c r="E20" s="507" t="s">
        <v>625</v>
      </c>
      <c r="F20" s="3674">
        <f>'R.FILE GOC'!H19</f>
        <v>0</v>
      </c>
      <c r="G20" s="3675"/>
      <c r="H20" s="3675"/>
      <c r="I20" s="3675"/>
      <c r="J20" s="3674">
        <f>'R.FILE GOC'!N19</f>
        <v>0</v>
      </c>
      <c r="K20" s="3675"/>
      <c r="L20" s="3675"/>
      <c r="M20" s="3675"/>
      <c r="N20" s="3674">
        <f>'R.FILE GOC'!T19</f>
        <v>0</v>
      </c>
      <c r="O20" s="3675"/>
      <c r="P20" s="3675"/>
      <c r="Q20" s="3675"/>
      <c r="R20" s="509"/>
      <c r="S20" s="509"/>
    </row>
    <row r="21" spans="1:19" s="502" customFormat="1" ht="28.5" customHeight="1">
      <c r="A21" s="482">
        <v>3</v>
      </c>
      <c r="B21" s="505" t="s">
        <v>438</v>
      </c>
      <c r="C21" s="505"/>
      <c r="D21" s="506" t="s">
        <v>624</v>
      </c>
      <c r="E21" s="507" t="s">
        <v>626</v>
      </c>
      <c r="F21" s="3674">
        <f>'R.FILE GOC'!H20</f>
        <v>0</v>
      </c>
      <c r="G21" s="3675"/>
      <c r="H21" s="3675"/>
      <c r="I21" s="3675"/>
      <c r="J21" s="3674">
        <f>'R.FILE GOC'!N20</f>
        <v>0</v>
      </c>
      <c r="K21" s="3675"/>
      <c r="L21" s="3675"/>
      <c r="M21" s="3675"/>
      <c r="N21" s="3674">
        <f>'R.FILE GOC'!T20</f>
        <v>0</v>
      </c>
      <c r="O21" s="3675"/>
      <c r="P21" s="3675"/>
      <c r="Q21" s="3675"/>
      <c r="R21" s="509"/>
      <c r="S21" s="509"/>
    </row>
    <row r="22" spans="1:19" s="502" customFormat="1" ht="28.5" customHeight="1">
      <c r="A22" s="510"/>
      <c r="B22" s="511"/>
      <c r="C22" s="511"/>
      <c r="D22" s="512"/>
      <c r="E22" s="513"/>
      <c r="F22" s="3679"/>
      <c r="G22" s="3679"/>
      <c r="H22" s="3679"/>
      <c r="I22" s="3679"/>
      <c r="J22" s="3679"/>
      <c r="K22" s="3679"/>
      <c r="L22" s="3679"/>
      <c r="M22" s="3679"/>
      <c r="N22" s="3679"/>
      <c r="O22" s="3679"/>
      <c r="P22" s="3679"/>
      <c r="Q22" s="3679"/>
      <c r="R22" s="514"/>
      <c r="S22" s="514"/>
    </row>
    <row r="23" spans="1:19" ht="39" customHeight="1">
      <c r="A23" s="3636" t="s">
        <v>908</v>
      </c>
      <c r="B23" s="3636"/>
      <c r="C23" s="3636"/>
      <c r="D23" s="3636"/>
      <c r="E23" s="3636"/>
      <c r="F23" s="3636"/>
      <c r="G23" s="3636"/>
      <c r="H23" s="3636"/>
      <c r="I23" s="3636"/>
      <c r="J23" s="3636"/>
      <c r="K23" s="3636"/>
      <c r="L23" s="3636"/>
      <c r="M23" s="3636"/>
      <c r="N23" s="474"/>
      <c r="O23" s="474"/>
      <c r="P23" s="474"/>
      <c r="Q23" s="474"/>
      <c r="R23" s="3680"/>
      <c r="S23" s="3680"/>
    </row>
    <row r="24" spans="1:19" ht="23.25" customHeight="1">
      <c r="A24" s="476"/>
      <c r="B24" s="476" t="s">
        <v>627</v>
      </c>
      <c r="C24" s="476"/>
      <c r="D24" s="1814" t="str">
        <f>D3</f>
        <v>Thứ 5,</v>
      </c>
      <c r="E24" s="1422" t="str">
        <f>$E$3</f>
        <v>2024/08/01</v>
      </c>
      <c r="F24" s="475"/>
      <c r="G24" s="475"/>
      <c r="H24" s="475"/>
      <c r="I24" s="475"/>
      <c r="J24" s="475"/>
      <c r="K24" s="475"/>
      <c r="L24" s="475"/>
      <c r="M24" s="475"/>
      <c r="N24" s="475"/>
      <c r="O24" s="475"/>
      <c r="P24" s="475"/>
      <c r="Q24" s="475"/>
      <c r="R24" s="3678"/>
      <c r="S24" s="3678"/>
    </row>
    <row r="25" spans="1:19" s="481" customFormat="1" ht="36.75" customHeight="1">
      <c r="A25" s="3656" t="s">
        <v>628</v>
      </c>
      <c r="B25" s="3682" t="s">
        <v>591</v>
      </c>
      <c r="C25" s="515"/>
      <c r="D25" s="3682" t="s">
        <v>123</v>
      </c>
      <c r="E25" s="3683" t="s">
        <v>592</v>
      </c>
      <c r="F25" s="3661" t="s">
        <v>593</v>
      </c>
      <c r="G25" s="3662"/>
      <c r="H25" s="3662"/>
      <c r="I25" s="3662"/>
      <c r="J25" s="3662"/>
      <c r="K25" s="3662"/>
      <c r="L25" s="3662"/>
      <c r="M25" s="3662"/>
      <c r="N25" s="3662"/>
      <c r="O25" s="3662"/>
      <c r="P25" s="3662"/>
      <c r="Q25" s="3663"/>
      <c r="R25" s="3681" t="s">
        <v>594</v>
      </c>
      <c r="S25" s="3681"/>
    </row>
    <row r="26" spans="1:19" s="481" customFormat="1" ht="16.5" customHeight="1">
      <c r="A26" s="3656"/>
      <c r="B26" s="3658"/>
      <c r="C26" s="480"/>
      <c r="D26" s="3658"/>
      <c r="E26" s="3659"/>
      <c r="F26" s="3646">
        <v>0.875</v>
      </c>
      <c r="G26" s="3647"/>
      <c r="H26" s="3647"/>
      <c r="I26" s="3647"/>
      <c r="J26" s="3648">
        <v>8.3333333333333329E-2</v>
      </c>
      <c r="K26" s="3649"/>
      <c r="L26" s="3649"/>
      <c r="M26" s="3650"/>
      <c r="N26" s="3648">
        <v>0.22916666666666666</v>
      </c>
      <c r="O26" s="3649"/>
      <c r="P26" s="3649"/>
      <c r="Q26" s="3650"/>
      <c r="R26" s="3645"/>
      <c r="S26" s="3645"/>
    </row>
    <row r="27" spans="1:19" s="481" customFormat="1" ht="38.25" customHeight="1">
      <c r="A27" s="3657"/>
      <c r="B27" s="3647"/>
      <c r="C27" s="482"/>
      <c r="D27" s="3647"/>
      <c r="E27" s="3660"/>
      <c r="F27" s="483" t="s">
        <v>595</v>
      </c>
      <c r="G27" s="3651" t="s">
        <v>596</v>
      </c>
      <c r="H27" s="3652"/>
      <c r="I27" s="3653"/>
      <c r="J27" s="483" t="s">
        <v>595</v>
      </c>
      <c r="K27" s="3664" t="s">
        <v>596</v>
      </c>
      <c r="L27" s="3665"/>
      <c r="M27" s="3666"/>
      <c r="N27" s="483" t="s">
        <v>595</v>
      </c>
      <c r="O27" s="3664" t="s">
        <v>596</v>
      </c>
      <c r="P27" s="3665"/>
      <c r="Q27" s="3666"/>
      <c r="R27" s="3654" t="s">
        <v>629</v>
      </c>
      <c r="S27" s="3654"/>
    </row>
    <row r="28" spans="1:19" ht="28.5" customHeight="1">
      <c r="A28" s="482">
        <v>1</v>
      </c>
      <c r="B28" s="484" t="s">
        <v>598</v>
      </c>
      <c r="C28" s="484"/>
      <c r="D28" s="485" t="s">
        <v>599</v>
      </c>
      <c r="E28" s="486" t="s">
        <v>600</v>
      </c>
      <c r="F28" s="487">
        <f>'R.FILE GOC'!Z6</f>
        <v>0</v>
      </c>
      <c r="G28" s="488" t="s">
        <v>614</v>
      </c>
      <c r="H28" s="489">
        <f>'R.FILE GOC'!AC6</f>
        <v>292.1875</v>
      </c>
      <c r="I28" s="482" t="s">
        <v>10</v>
      </c>
      <c r="J28" s="487">
        <f>'R.FILE GOC'!AF6</f>
        <v>0</v>
      </c>
      <c r="K28" s="488" t="s">
        <v>614</v>
      </c>
      <c r="L28" s="489">
        <f>'R.FILE GOC'!AI6</f>
        <v>292.1875</v>
      </c>
      <c r="M28" s="482" t="s">
        <v>10</v>
      </c>
      <c r="N28" s="487">
        <f>'R.FILE GOC'!AL6</f>
        <v>0</v>
      </c>
      <c r="O28" s="488" t="s">
        <v>614</v>
      </c>
      <c r="P28" s="489">
        <f>'R.FILE GOC'!AO6</f>
        <v>292.1875</v>
      </c>
      <c r="Q28" s="482" t="s">
        <v>10</v>
      </c>
      <c r="R28" s="3667" t="s">
        <v>630</v>
      </c>
      <c r="S28" s="3667"/>
    </row>
    <row r="29" spans="1:19" ht="28.5" hidden="1" customHeight="1">
      <c r="A29" s="482">
        <v>2</v>
      </c>
      <c r="B29" s="484" t="s">
        <v>603</v>
      </c>
      <c r="C29" s="490"/>
      <c r="D29" s="485" t="s">
        <v>599</v>
      </c>
      <c r="E29" s="486" t="s">
        <v>600</v>
      </c>
      <c r="F29" s="491">
        <f>'R.FILE GOC'!Z7</f>
        <v>0</v>
      </c>
      <c r="G29" s="492" t="s">
        <v>614</v>
      </c>
      <c r="H29" s="493">
        <f>'R.FILE GOC'!AC7</f>
        <v>292.1875</v>
      </c>
      <c r="I29" s="209" t="s">
        <v>10</v>
      </c>
      <c r="J29" s="491">
        <f>'R.FILE GOC'!AF7</f>
        <v>0</v>
      </c>
      <c r="K29" s="492" t="s">
        <v>614</v>
      </c>
      <c r="L29" s="493">
        <f>'R.FILE GOC'!AI7</f>
        <v>292.1875</v>
      </c>
      <c r="M29" s="209" t="s">
        <v>10</v>
      </c>
      <c r="N29" s="491">
        <f>'R.FILE GOC'!AL7</f>
        <v>0</v>
      </c>
      <c r="O29" s="492" t="s">
        <v>614</v>
      </c>
      <c r="P29" s="493">
        <f>'R.FILE GOC'!AO7</f>
        <v>292.1875</v>
      </c>
      <c r="Q29" s="209" t="s">
        <v>10</v>
      </c>
      <c r="R29" s="3667" t="s">
        <v>631</v>
      </c>
      <c r="S29" s="3667"/>
    </row>
    <row r="30" spans="1:19" ht="28.5" customHeight="1">
      <c r="A30" s="482">
        <v>3</v>
      </c>
      <c r="B30" s="3668" t="s">
        <v>632</v>
      </c>
      <c r="C30" s="495"/>
      <c r="D30" s="3671" t="s">
        <v>429</v>
      </c>
      <c r="E30" s="486" t="s">
        <v>605</v>
      </c>
      <c r="F30" s="487">
        <f>'R.FILE GOC'!Z8</f>
        <v>0</v>
      </c>
      <c r="G30" s="488" t="s">
        <v>614</v>
      </c>
      <c r="H30" s="489">
        <f>'R.FILE GOC'!AC8</f>
        <v>69.400000000000006</v>
      </c>
      <c r="I30" s="482" t="s">
        <v>615</v>
      </c>
      <c r="J30" s="487">
        <f>'R.FILE GOC'!AF8</f>
        <v>0</v>
      </c>
      <c r="K30" s="488" t="s">
        <v>614</v>
      </c>
      <c r="L30" s="489">
        <f>'R.FILE GOC'!AI8</f>
        <v>69.400000000000006</v>
      </c>
      <c r="M30" s="482" t="s">
        <v>615</v>
      </c>
      <c r="N30" s="487">
        <f>'R.FILE GOC'!AL8</f>
        <v>0</v>
      </c>
      <c r="O30" s="488" t="s">
        <v>614</v>
      </c>
      <c r="P30" s="489">
        <f>'R.FILE GOC'!AO8</f>
        <v>69.400000000000006</v>
      </c>
      <c r="Q30" s="482" t="s">
        <v>615</v>
      </c>
      <c r="R30" s="3667" t="s">
        <v>633</v>
      </c>
      <c r="S30" s="3667"/>
    </row>
    <row r="31" spans="1:19" ht="28.5" customHeight="1">
      <c r="A31" s="482">
        <v>4</v>
      </c>
      <c r="B31" s="3669"/>
      <c r="C31" s="496"/>
      <c r="D31" s="3671"/>
      <c r="E31" s="486" t="s">
        <v>609</v>
      </c>
      <c r="F31" s="487">
        <f>'R.FILE GOC'!Z9</f>
        <v>0</v>
      </c>
      <c r="G31" s="488" t="s">
        <v>614</v>
      </c>
      <c r="H31" s="489">
        <f>'R.FILE GOC'!AC9</f>
        <v>4.5110000000000001</v>
      </c>
      <c r="I31" s="482" t="s">
        <v>615</v>
      </c>
      <c r="J31" s="487">
        <f>'R.FILE GOC'!AF9</f>
        <v>0</v>
      </c>
      <c r="K31" s="488" t="s">
        <v>614</v>
      </c>
      <c r="L31" s="489">
        <f>'R.FILE GOC'!AI9</f>
        <v>4.5110000000000001</v>
      </c>
      <c r="M31" s="482" t="s">
        <v>615</v>
      </c>
      <c r="N31" s="487">
        <f>'R.FILE GOC'!AL9</f>
        <v>0</v>
      </c>
      <c r="O31" s="488" t="s">
        <v>614</v>
      </c>
      <c r="P31" s="489">
        <f>'R.FILE GOC'!AO9</f>
        <v>4.5110000000000001</v>
      </c>
      <c r="Q31" s="482" t="s">
        <v>615</v>
      </c>
      <c r="R31" s="3667" t="s">
        <v>634</v>
      </c>
      <c r="S31" s="3667"/>
    </row>
    <row r="32" spans="1:19" ht="28.5" customHeight="1">
      <c r="A32" s="482">
        <v>5</v>
      </c>
      <c r="B32" s="3670"/>
      <c r="C32" s="497"/>
      <c r="D32" s="3671"/>
      <c r="E32" s="486" t="s">
        <v>611</v>
      </c>
      <c r="F32" s="498">
        <f>'R.FILE GOC'!Z10</f>
        <v>0</v>
      </c>
      <c r="G32" s="488" t="s">
        <v>635</v>
      </c>
      <c r="H32" s="489">
        <f>'R.FILE GOC'!AC10</f>
        <v>0</v>
      </c>
      <c r="I32" s="482" t="s">
        <v>636</v>
      </c>
      <c r="J32" s="498">
        <f>'R.FILE GOC'!AF10</f>
        <v>0</v>
      </c>
      <c r="K32" s="488" t="s">
        <v>635</v>
      </c>
      <c r="L32" s="489">
        <f>'R.FILE GOC'!AI10</f>
        <v>0</v>
      </c>
      <c r="M32" s="482" t="s">
        <v>636</v>
      </c>
      <c r="N32" s="498">
        <f>'R.FILE GOC'!AL10</f>
        <v>0</v>
      </c>
      <c r="O32" s="488" t="s">
        <v>635</v>
      </c>
      <c r="P32" s="489" t="str">
        <f>'R.FILE GOC'!AO10</f>
        <v>N/A</v>
      </c>
      <c r="Q32" s="482" t="s">
        <v>636</v>
      </c>
      <c r="R32" s="3667"/>
      <c r="S32" s="3667"/>
    </row>
    <row r="33" spans="1:19" ht="28.5" customHeight="1">
      <c r="A33" s="482">
        <v>6</v>
      </c>
      <c r="B33" s="3668" t="s">
        <v>612</v>
      </c>
      <c r="C33" s="495"/>
      <c r="D33" s="3671" t="s">
        <v>429</v>
      </c>
      <c r="E33" s="486" t="s">
        <v>605</v>
      </c>
      <c r="F33" s="487">
        <f>'R.FILE GOC'!Z11</f>
        <v>0</v>
      </c>
      <c r="G33" s="488" t="s">
        <v>635</v>
      </c>
      <c r="H33" s="489">
        <f>'R.FILE GOC'!AC11</f>
        <v>69.400000000000006</v>
      </c>
      <c r="I33" s="482" t="s">
        <v>636</v>
      </c>
      <c r="J33" s="487">
        <f>'R.FILE GOC'!AF11</f>
        <v>0</v>
      </c>
      <c r="K33" s="488" t="s">
        <v>635</v>
      </c>
      <c r="L33" s="489">
        <f>'R.FILE GOC'!AI11</f>
        <v>69.400000000000006</v>
      </c>
      <c r="M33" s="482" t="s">
        <v>636</v>
      </c>
      <c r="N33" s="487">
        <f>'R.FILE GOC'!AL11</f>
        <v>0</v>
      </c>
      <c r="O33" s="488" t="s">
        <v>635</v>
      </c>
      <c r="P33" s="489">
        <f>'R.FILE GOC'!AO11</f>
        <v>69.400000000000006</v>
      </c>
      <c r="Q33" s="482" t="s">
        <v>636</v>
      </c>
      <c r="R33" s="3667" t="s">
        <v>633</v>
      </c>
      <c r="S33" s="3667"/>
    </row>
    <row r="34" spans="1:19" ht="28.5" customHeight="1">
      <c r="A34" s="482">
        <v>7</v>
      </c>
      <c r="B34" s="3669"/>
      <c r="C34" s="496"/>
      <c r="D34" s="3671"/>
      <c r="E34" s="486" t="s">
        <v>609</v>
      </c>
      <c r="F34" s="498">
        <f>'R.FILE GOC'!Z12</f>
        <v>0</v>
      </c>
      <c r="G34" s="488" t="s">
        <v>635</v>
      </c>
      <c r="H34" s="489">
        <f>'R.FILE GOC'!AC12</f>
        <v>4.5110000000000001</v>
      </c>
      <c r="I34" s="482" t="s">
        <v>636</v>
      </c>
      <c r="J34" s="498">
        <f>'R.FILE GOC'!AF12</f>
        <v>0</v>
      </c>
      <c r="K34" s="488" t="s">
        <v>635</v>
      </c>
      <c r="L34" s="489">
        <f>'R.FILE GOC'!AI12</f>
        <v>4.5110000000000001</v>
      </c>
      <c r="M34" s="482" t="s">
        <v>636</v>
      </c>
      <c r="N34" s="498">
        <f>'R.FILE GOC'!AL12</f>
        <v>0</v>
      </c>
      <c r="O34" s="488" t="s">
        <v>635</v>
      </c>
      <c r="P34" s="489">
        <f>'R.FILE GOC'!AO12</f>
        <v>4.5110000000000001</v>
      </c>
      <c r="Q34" s="482" t="s">
        <v>636</v>
      </c>
      <c r="R34" s="3667" t="s">
        <v>634</v>
      </c>
      <c r="S34" s="3667"/>
    </row>
    <row r="35" spans="1:19" ht="28.5" customHeight="1">
      <c r="A35" s="482">
        <v>8</v>
      </c>
      <c r="B35" s="3670"/>
      <c r="C35" s="497"/>
      <c r="D35" s="3671"/>
      <c r="E35" s="486" t="s">
        <v>611</v>
      </c>
      <c r="F35" s="498">
        <f>'R.FILE GOC'!Z13</f>
        <v>0</v>
      </c>
      <c r="G35" s="488" t="s">
        <v>635</v>
      </c>
      <c r="H35" s="489">
        <f>'R.FILE GOC'!AC13</f>
        <v>0</v>
      </c>
      <c r="I35" s="482" t="s">
        <v>636</v>
      </c>
      <c r="J35" s="498">
        <f>'R.FILE GOC'!AF13</f>
        <v>0</v>
      </c>
      <c r="K35" s="488" t="s">
        <v>635</v>
      </c>
      <c r="L35" s="489">
        <f>'R.FILE GOC'!AI13</f>
        <v>0</v>
      </c>
      <c r="M35" s="482" t="s">
        <v>636</v>
      </c>
      <c r="N35" s="498">
        <f>'R.FILE GOC'!AL13</f>
        <v>0</v>
      </c>
      <c r="O35" s="488" t="s">
        <v>635</v>
      </c>
      <c r="P35" s="489" t="str">
        <f>'R.FILE GOC'!AO13</f>
        <v>N/A</v>
      </c>
      <c r="Q35" s="482" t="s">
        <v>636</v>
      </c>
      <c r="R35" s="3667"/>
      <c r="S35" s="3667"/>
    </row>
    <row r="36" spans="1:19" s="502" customFormat="1" ht="28.5" customHeight="1">
      <c r="A36" s="482">
        <v>9</v>
      </c>
      <c r="B36" s="3676" t="s">
        <v>613</v>
      </c>
      <c r="C36" s="490"/>
      <c r="D36" s="499" t="s">
        <v>429</v>
      </c>
      <c r="E36" s="486" t="s">
        <v>439</v>
      </c>
      <c r="F36" s="487">
        <f>'R.FILE GOC'!Z14</f>
        <v>0</v>
      </c>
      <c r="G36" s="488" t="s">
        <v>614</v>
      </c>
      <c r="H36" s="500">
        <f>'R.FILE GOC'!AC14</f>
        <v>4.3680000000000003</v>
      </c>
      <c r="I36" s="501" t="s">
        <v>615</v>
      </c>
      <c r="J36" s="487">
        <f>'R.FILE GOC'!AF14</f>
        <v>0</v>
      </c>
      <c r="K36" s="488" t="s">
        <v>614</v>
      </c>
      <c r="L36" s="500">
        <f>'R.FILE GOC'!AI14</f>
        <v>4.3680000000000003</v>
      </c>
      <c r="M36" s="501" t="s">
        <v>615</v>
      </c>
      <c r="N36" s="487">
        <f>'R.FILE GOC'!AL14</f>
        <v>0</v>
      </c>
      <c r="O36" s="488" t="s">
        <v>614</v>
      </c>
      <c r="P36" s="500">
        <f>'R.FILE GOC'!AO14</f>
        <v>4.3680000000000003</v>
      </c>
      <c r="Q36" s="501" t="s">
        <v>615</v>
      </c>
      <c r="R36" s="3667"/>
      <c r="S36" s="3667"/>
    </row>
    <row r="37" spans="1:19" s="502" customFormat="1" ht="28.5" customHeight="1">
      <c r="A37" s="482">
        <v>10</v>
      </c>
      <c r="B37" s="3677"/>
      <c r="C37" s="503"/>
      <c r="D37" s="499" t="s">
        <v>616</v>
      </c>
      <c r="E37" s="486" t="s">
        <v>617</v>
      </c>
      <c r="F37" s="487">
        <f>'R.FILE GOC'!Z15</f>
        <v>0</v>
      </c>
      <c r="G37" s="488"/>
      <c r="H37" s="489"/>
      <c r="I37" s="501"/>
      <c r="J37" s="487">
        <f>'R.FILE GOC'!AF15</f>
        <v>0</v>
      </c>
      <c r="K37" s="488"/>
      <c r="L37" s="489"/>
      <c r="M37" s="501"/>
      <c r="N37" s="487">
        <f>'R.FILE GOC'!AL15</f>
        <v>0</v>
      </c>
      <c r="O37" s="488"/>
      <c r="P37" s="489"/>
      <c r="Q37" s="501"/>
      <c r="R37" s="3667"/>
      <c r="S37" s="3667"/>
    </row>
    <row r="38" spans="1:19" s="502" customFormat="1" ht="27" customHeight="1">
      <c r="A38" s="3658" t="s">
        <v>618</v>
      </c>
      <c r="B38" s="3658"/>
      <c r="C38" s="3658"/>
      <c r="D38" s="3658"/>
      <c r="E38" s="3658"/>
      <c r="F38" s="3658"/>
      <c r="G38" s="3658"/>
      <c r="H38" s="3658"/>
      <c r="I38" s="3658"/>
      <c r="J38" s="3658"/>
      <c r="K38" s="3658"/>
      <c r="L38" s="3658"/>
      <c r="M38" s="3658"/>
      <c r="N38" s="3658"/>
      <c r="O38" s="3658"/>
      <c r="P38" s="3658"/>
      <c r="Q38" s="3658"/>
      <c r="R38" s="3658"/>
      <c r="S38" s="3658"/>
    </row>
    <row r="39" spans="1:19" s="502" customFormat="1" ht="34.5" customHeight="1">
      <c r="A39" s="482" t="s">
        <v>637</v>
      </c>
      <c r="B39" s="504" t="s">
        <v>620</v>
      </c>
      <c r="C39" s="504"/>
      <c r="D39" s="480" t="s">
        <v>621</v>
      </c>
      <c r="E39" s="480" t="s">
        <v>622</v>
      </c>
      <c r="F39" s="3661" t="s">
        <v>623</v>
      </c>
      <c r="G39" s="3662"/>
      <c r="H39" s="3662"/>
      <c r="I39" s="3662"/>
      <c r="J39" s="3662"/>
      <c r="K39" s="3662"/>
      <c r="L39" s="3662"/>
      <c r="M39" s="3662"/>
      <c r="N39" s="3662"/>
      <c r="O39" s="3662"/>
      <c r="P39" s="3662"/>
      <c r="Q39" s="3663"/>
      <c r="R39" s="3672" t="s">
        <v>594</v>
      </c>
      <c r="S39" s="3673"/>
    </row>
    <row r="40" spans="1:19" s="502" customFormat="1" ht="30.75" customHeight="1">
      <c r="A40" s="482">
        <v>1</v>
      </c>
      <c r="B40" s="505" t="s">
        <v>443</v>
      </c>
      <c r="C40" s="505"/>
      <c r="D40" s="506" t="s">
        <v>624</v>
      </c>
      <c r="E40" s="507" t="s">
        <v>625</v>
      </c>
      <c r="F40" s="3674">
        <f>'R.FILE GOC'!Z18</f>
        <v>0</v>
      </c>
      <c r="G40" s="3675"/>
      <c r="H40" s="3675"/>
      <c r="I40" s="3675"/>
      <c r="J40" s="3674">
        <f>'R.FILE GOC'!AF18</f>
        <v>0</v>
      </c>
      <c r="K40" s="3675"/>
      <c r="L40" s="3675"/>
      <c r="M40" s="3675"/>
      <c r="N40" s="3674">
        <f>'R.FILE GOC'!AL18</f>
        <v>0</v>
      </c>
      <c r="O40" s="3675"/>
      <c r="P40" s="3675"/>
      <c r="Q40" s="3675"/>
      <c r="R40" s="508"/>
      <c r="S40" s="508"/>
    </row>
    <row r="41" spans="1:19" s="502" customFormat="1" ht="30.75" customHeight="1">
      <c r="A41" s="482">
        <v>2</v>
      </c>
      <c r="B41" s="505" t="s">
        <v>445</v>
      </c>
      <c r="C41" s="505"/>
      <c r="D41" s="506" t="s">
        <v>624</v>
      </c>
      <c r="E41" s="507" t="s">
        <v>625</v>
      </c>
      <c r="F41" s="3674">
        <f>'R.FILE GOC'!Z19</f>
        <v>0</v>
      </c>
      <c r="G41" s="3675"/>
      <c r="H41" s="3675"/>
      <c r="I41" s="3675"/>
      <c r="J41" s="3674">
        <f>'R.FILE GOC'!AF19</f>
        <v>0</v>
      </c>
      <c r="K41" s="3675"/>
      <c r="L41" s="3675"/>
      <c r="M41" s="3675"/>
      <c r="N41" s="3674">
        <f>'R.FILE GOC'!AL19</f>
        <v>0</v>
      </c>
      <c r="O41" s="3675"/>
      <c r="P41" s="3675"/>
      <c r="Q41" s="3675"/>
      <c r="R41" s="508"/>
      <c r="S41" s="508"/>
    </row>
    <row r="42" spans="1:19" s="502" customFormat="1" ht="30.75" customHeight="1">
      <c r="A42" s="482">
        <v>3</v>
      </c>
      <c r="B42" s="505" t="s">
        <v>438</v>
      </c>
      <c r="C42" s="505"/>
      <c r="D42" s="506" t="s">
        <v>624</v>
      </c>
      <c r="E42" s="507" t="s">
        <v>626</v>
      </c>
      <c r="F42" s="3674">
        <f>'R.FILE GOC'!Z20</f>
        <v>0</v>
      </c>
      <c r="G42" s="3675"/>
      <c r="H42" s="3675"/>
      <c r="I42" s="3675"/>
      <c r="J42" s="3674">
        <f>'R.FILE GOC'!AF20</f>
        <v>0</v>
      </c>
      <c r="K42" s="3675"/>
      <c r="L42" s="3675"/>
      <c r="M42" s="3675"/>
      <c r="N42" s="3674">
        <f>'R.FILE GOC'!AL20</f>
        <v>0</v>
      </c>
      <c r="O42" s="3675"/>
      <c r="P42" s="3675"/>
      <c r="Q42" s="3675"/>
      <c r="R42" s="509"/>
      <c r="S42" s="509"/>
    </row>
    <row r="43" spans="1:19" ht="20.25" customHeight="1">
      <c r="A43" s="516"/>
      <c r="B43" s="517"/>
      <c r="C43" s="517"/>
      <c r="D43" s="518"/>
      <c r="E43" s="517"/>
      <c r="F43" s="517"/>
      <c r="G43" s="517"/>
      <c r="H43" s="517"/>
      <c r="I43" s="517"/>
      <c r="J43" s="517"/>
      <c r="K43" s="517"/>
      <c r="L43" s="517"/>
      <c r="M43" s="517"/>
      <c r="N43" s="517"/>
      <c r="O43" s="517"/>
      <c r="P43" s="517"/>
      <c r="Q43" s="517"/>
    </row>
    <row r="44" spans="1:19" ht="12.75" customHeight="1">
      <c r="A44" s="519"/>
      <c r="B44" s="517"/>
      <c r="C44" s="517"/>
      <c r="D44" s="510"/>
      <c r="E44" s="517"/>
      <c r="F44" s="520"/>
      <c r="G44" s="521"/>
      <c r="H44" s="510"/>
      <c r="I44" s="522"/>
      <c r="J44" s="522"/>
      <c r="K44" s="522"/>
      <c r="L44" s="522"/>
      <c r="M44" s="522"/>
      <c r="N44" s="522"/>
      <c r="O44" s="522"/>
      <c r="P44" s="522"/>
      <c r="Q44" s="522"/>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7" type="noConversion"/>
  <conditionalFormatting sqref="F40:Q41 F19:Q20">
    <cfRule type="expression" dxfId="1325" priority="53">
      <formula>F19&lt;65</formula>
    </cfRule>
    <cfRule type="expression" dxfId="1324" priority="54">
      <formula>F19&gt;85</formula>
    </cfRule>
  </conditionalFormatting>
  <conditionalFormatting sqref="F42:Q42 F21:Q21">
    <cfRule type="expression" dxfId="1323" priority="51">
      <formula>F21&lt;80</formula>
    </cfRule>
    <cfRule type="expression" dxfId="1322" priority="52">
      <formula>F21&gt;90</formula>
    </cfRule>
  </conditionalFormatting>
  <conditionalFormatting sqref="F8 J8">
    <cfRule type="expression" dxfId="1321" priority="49">
      <formula>F8&lt;10</formula>
    </cfRule>
    <cfRule type="expression" dxfId="1320" priority="50">
      <formula>F8&gt;15</formula>
    </cfRule>
  </conditionalFormatting>
  <conditionalFormatting sqref="N8">
    <cfRule type="expression" dxfId="1319" priority="47">
      <formula>N8&lt;10</formula>
    </cfRule>
    <cfRule type="expression" dxfId="1318" priority="48">
      <formula>N8&gt;15</formula>
    </cfRule>
  </conditionalFormatting>
  <conditionalFormatting sqref="J8">
    <cfRule type="expression" dxfId="1317" priority="45">
      <formula>J8&lt;10</formula>
    </cfRule>
    <cfRule type="expression" dxfId="1316" priority="46">
      <formula>J8&gt;15</formula>
    </cfRule>
  </conditionalFormatting>
  <conditionalFormatting sqref="N8">
    <cfRule type="expression" dxfId="1315" priority="43">
      <formula>N8&lt;10</formula>
    </cfRule>
    <cfRule type="expression" dxfId="1314" priority="44">
      <formula>N8&gt;15</formula>
    </cfRule>
  </conditionalFormatting>
  <conditionalFormatting sqref="F8">
    <cfRule type="expression" dxfId="1313" priority="41">
      <formula>F8&lt;10</formula>
    </cfRule>
    <cfRule type="expression" dxfId="1312" priority="42">
      <formula>F8&gt;15</formula>
    </cfRule>
  </conditionalFormatting>
  <conditionalFormatting sqref="F8 J8">
    <cfRule type="expression" dxfId="1311" priority="39">
      <formula>F8&lt;10</formula>
    </cfRule>
    <cfRule type="expression" dxfId="1310" priority="40">
      <formula>F8&gt;15</formula>
    </cfRule>
  </conditionalFormatting>
  <conditionalFormatting sqref="N8">
    <cfRule type="expression" dxfId="1309" priority="37">
      <formula>N8&lt;10</formula>
    </cfRule>
    <cfRule type="expression" dxfId="1308" priority="38">
      <formula>N8&gt;15</formula>
    </cfRule>
  </conditionalFormatting>
  <conditionalFormatting sqref="F8">
    <cfRule type="expression" dxfId="1307" priority="35">
      <formula>F8&lt;10</formula>
    </cfRule>
    <cfRule type="expression" dxfId="1306" priority="36">
      <formula>F8&gt;15</formula>
    </cfRule>
  </conditionalFormatting>
  <conditionalFormatting sqref="F8">
    <cfRule type="expression" dxfId="1305" priority="34">
      <formula>F8&lt;1</formula>
    </cfRule>
  </conditionalFormatting>
  <conditionalFormatting sqref="J8">
    <cfRule type="expression" dxfId="1304" priority="32">
      <formula>J8&lt;10</formula>
    </cfRule>
    <cfRule type="expression" dxfId="1303" priority="33">
      <formula>J8&gt;15</formula>
    </cfRule>
  </conditionalFormatting>
  <conditionalFormatting sqref="J8">
    <cfRule type="expression" dxfId="1302" priority="31">
      <formula>J8&lt;1</formula>
    </cfRule>
  </conditionalFormatting>
  <conditionalFormatting sqref="N8">
    <cfRule type="expression" dxfId="1301" priority="29">
      <formula>N8&lt;10</formula>
    </cfRule>
    <cfRule type="expression" dxfId="1300" priority="30">
      <formula>N8&gt;15</formula>
    </cfRule>
  </conditionalFormatting>
  <conditionalFormatting sqref="N8">
    <cfRule type="expression" dxfId="1299" priority="27">
      <formula>N8&lt;10</formula>
    </cfRule>
    <cfRule type="expression" dxfId="1298" priority="28">
      <formula>N8&gt;15</formula>
    </cfRule>
  </conditionalFormatting>
  <conditionalFormatting sqref="N8">
    <cfRule type="expression" dxfId="1297" priority="26">
      <formula>N8&lt;1</formula>
    </cfRule>
  </conditionalFormatting>
  <conditionalFormatting sqref="F29 J29">
    <cfRule type="expression" dxfId="1296" priority="24">
      <formula>F29&lt;10</formula>
    </cfRule>
    <cfRule type="expression" dxfId="1295" priority="25">
      <formula>F29&gt;15</formula>
    </cfRule>
  </conditionalFormatting>
  <conditionalFormatting sqref="N29">
    <cfRule type="expression" dxfId="1294" priority="22">
      <formula>N29&lt;10</formula>
    </cfRule>
    <cfRule type="expression" dxfId="1293" priority="23">
      <formula>N29&gt;15</formula>
    </cfRule>
  </conditionalFormatting>
  <conditionalFormatting sqref="J29">
    <cfRule type="expression" dxfId="1292" priority="20">
      <formula>J29&lt;10</formula>
    </cfRule>
    <cfRule type="expression" dxfId="1291" priority="21">
      <formula>J29&gt;15</formula>
    </cfRule>
  </conditionalFormatting>
  <conditionalFormatting sqref="N29">
    <cfRule type="expression" dxfId="1290" priority="18">
      <formula>N29&lt;10</formula>
    </cfRule>
    <cfRule type="expression" dxfId="1289" priority="19">
      <formula>N29&gt;15</formula>
    </cfRule>
  </conditionalFormatting>
  <conditionalFormatting sqref="F29">
    <cfRule type="expression" dxfId="1288" priority="16">
      <formula>F29&lt;10</formula>
    </cfRule>
    <cfRule type="expression" dxfId="1287" priority="17">
      <formula>F29&gt;15</formula>
    </cfRule>
  </conditionalFormatting>
  <conditionalFormatting sqref="F29 J29">
    <cfRule type="expression" dxfId="1286" priority="14">
      <formula>F29&lt;10</formula>
    </cfRule>
    <cfRule type="expression" dxfId="1285" priority="15">
      <formula>F29&gt;15</formula>
    </cfRule>
  </conditionalFormatting>
  <conditionalFormatting sqref="N29">
    <cfRule type="expression" dxfId="1284" priority="12">
      <formula>N29&lt;10</formula>
    </cfRule>
    <cfRule type="expression" dxfId="1283" priority="13">
      <formula>N29&gt;15</formula>
    </cfRule>
  </conditionalFormatting>
  <conditionalFormatting sqref="F29">
    <cfRule type="expression" dxfId="1282" priority="10">
      <formula>F29&lt;10</formula>
    </cfRule>
    <cfRule type="expression" dxfId="1281" priority="11">
      <formula>F29&gt;15</formula>
    </cfRule>
  </conditionalFormatting>
  <conditionalFormatting sqref="F29">
    <cfRule type="expression" dxfId="1280" priority="9">
      <formula>F29&lt;1</formula>
    </cfRule>
  </conditionalFormatting>
  <conditionalFormatting sqref="J29">
    <cfRule type="expression" dxfId="1279" priority="7">
      <formula>J29&lt;10</formula>
    </cfRule>
    <cfRule type="expression" dxfId="1278" priority="8">
      <formula>J29&gt;15</formula>
    </cfRule>
  </conditionalFormatting>
  <conditionalFormatting sqref="J29">
    <cfRule type="expression" dxfId="1277" priority="6">
      <formula>J29&lt;1</formula>
    </cfRule>
  </conditionalFormatting>
  <conditionalFormatting sqref="N29">
    <cfRule type="expression" dxfId="1276" priority="4">
      <formula>N29&lt;10</formula>
    </cfRule>
    <cfRule type="expression" dxfId="1275" priority="5">
      <formula>N29&gt;15</formula>
    </cfRule>
  </conditionalFormatting>
  <conditionalFormatting sqref="N29">
    <cfRule type="expression" dxfId="1274" priority="2">
      <formula>N29&lt;10</formula>
    </cfRule>
    <cfRule type="expression" dxfId="1273" priority="3">
      <formula>N29&gt;15</formula>
    </cfRule>
  </conditionalFormatting>
  <conditionalFormatting sqref="N29">
    <cfRule type="expression" dxfId="1272"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4">
    <tabColor rgb="FFFFC000"/>
  </sheetPr>
  <dimension ref="A1:Q35"/>
  <sheetViews>
    <sheetView topLeftCell="A10" zoomScale="85" zoomScaleNormal="85" workbookViewId="0">
      <selection activeCell="M35" sqref="M35:P35"/>
    </sheetView>
  </sheetViews>
  <sheetFormatPr defaultRowHeight="13.5"/>
  <cols>
    <col min="1" max="1" width="5.5" style="473" customWidth="1"/>
    <col min="2" max="2" width="23.875" style="523" customWidth="1"/>
    <col min="3" max="3" width="8.5" style="473" customWidth="1"/>
    <col min="4" max="4" width="14" style="473" customWidth="1"/>
    <col min="5" max="5" width="7.375" style="473" customWidth="1"/>
    <col min="6" max="6" width="3.875" style="473" customWidth="1"/>
    <col min="7" max="7" width="7.5" style="473" customWidth="1"/>
    <col min="8" max="8" width="4.375" style="473" customWidth="1"/>
    <col min="9" max="9" width="8.5" style="473" customWidth="1"/>
    <col min="10" max="10" width="2.625" style="473" customWidth="1"/>
    <col min="11" max="11" width="6.875" style="473" customWidth="1"/>
    <col min="12" max="12" width="4.25" style="473" customWidth="1"/>
    <col min="13" max="13" width="8.5" style="473" customWidth="1"/>
    <col min="14" max="14" width="2.625" style="473" customWidth="1"/>
    <col min="15" max="15" width="6.875" style="473" customWidth="1"/>
    <col min="16" max="16" width="4.25" style="473" customWidth="1"/>
    <col min="17" max="17" width="11.125" style="473" customWidth="1"/>
    <col min="18" max="16384" width="9" style="473"/>
  </cols>
  <sheetData>
    <row r="1" spans="1:17" ht="27.75" customHeight="1">
      <c r="A1" s="3635" t="s">
        <v>585</v>
      </c>
      <c r="B1" s="3635"/>
      <c r="C1" s="3635"/>
      <c r="D1" s="3635"/>
      <c r="E1" s="3635"/>
      <c r="F1" s="3635"/>
      <c r="G1" s="3635"/>
      <c r="H1" s="3635"/>
      <c r="I1" s="3635"/>
      <c r="J1" s="3635"/>
      <c r="K1" s="3635"/>
      <c r="L1" s="3635"/>
      <c r="M1" s="471"/>
      <c r="N1" s="471"/>
      <c r="O1" s="471"/>
      <c r="P1" s="471"/>
      <c r="Q1" s="471"/>
    </row>
    <row r="2" spans="1:17" ht="36.75" customHeight="1">
      <c r="A2" s="3636" t="s">
        <v>911</v>
      </c>
      <c r="B2" s="3636"/>
      <c r="C2" s="3636"/>
      <c r="D2" s="3636"/>
      <c r="E2" s="3636"/>
      <c r="F2" s="3636"/>
      <c r="G2" s="3636"/>
      <c r="H2" s="3636"/>
      <c r="I2" s="3636"/>
      <c r="J2" s="3636"/>
      <c r="K2" s="3636"/>
      <c r="L2" s="3636"/>
      <c r="M2" s="474"/>
      <c r="N2" s="474"/>
      <c r="O2" s="3292" t="s">
        <v>638</v>
      </c>
      <c r="P2" s="3294"/>
      <c r="Q2" s="74" t="s">
        <v>17</v>
      </c>
    </row>
    <row r="3" spans="1:17" ht="22.5" customHeight="1">
      <c r="A3" s="475"/>
      <c r="B3" s="476" t="s">
        <v>588</v>
      </c>
      <c r="C3" s="1991" t="str">
        <f>MENU!$AC$9</f>
        <v>Thứ 5,</v>
      </c>
      <c r="D3" s="1815" t="str">
        <f>MENU!$AD$9</f>
        <v>2024/08/01</v>
      </c>
      <c r="E3" s="477"/>
      <c r="F3" s="477"/>
      <c r="G3" s="477"/>
      <c r="H3" s="477"/>
      <c r="I3" s="3691"/>
      <c r="J3" s="3691"/>
      <c r="K3" s="3691"/>
      <c r="L3" s="525"/>
      <c r="M3" s="476"/>
      <c r="N3" s="476"/>
      <c r="O3" s="3641" t="str">
        <f>'1.xi den'!$R$3</f>
        <v>L.Yen</v>
      </c>
      <c r="P3" s="3642"/>
      <c r="Q3" s="526" t="s">
        <v>639</v>
      </c>
    </row>
    <row r="4" spans="1:17" s="527" customFormat="1" ht="39" customHeight="1">
      <c r="A4" s="3684" t="s">
        <v>640</v>
      </c>
      <c r="B4" s="3687" t="s">
        <v>641</v>
      </c>
      <c r="C4" s="3687" t="s">
        <v>642</v>
      </c>
      <c r="D4" s="3689" t="s">
        <v>643</v>
      </c>
      <c r="E4" s="3661" t="s">
        <v>910</v>
      </c>
      <c r="F4" s="3662"/>
      <c r="G4" s="3662"/>
      <c r="H4" s="3662"/>
      <c r="I4" s="3662"/>
      <c r="J4" s="3662"/>
      <c r="K4" s="3662"/>
      <c r="L4" s="3662"/>
      <c r="M4" s="3662"/>
      <c r="N4" s="3662"/>
      <c r="O4" s="3662"/>
      <c r="P4" s="3663"/>
      <c r="Q4" s="3216" t="s">
        <v>644</v>
      </c>
    </row>
    <row r="5" spans="1:17" s="527" customFormat="1" ht="25.5" customHeight="1">
      <c r="A5" s="3685"/>
      <c r="B5" s="3687"/>
      <c r="C5" s="3687"/>
      <c r="D5" s="3689"/>
      <c r="E5" s="3646">
        <v>0.375</v>
      </c>
      <c r="F5" s="3647"/>
      <c r="G5" s="3647"/>
      <c r="H5" s="3647"/>
      <c r="I5" s="3648">
        <v>0.5625</v>
      </c>
      <c r="J5" s="3649"/>
      <c r="K5" s="3649"/>
      <c r="L5" s="3650"/>
      <c r="M5" s="3648">
        <v>0.72916666666666663</v>
      </c>
      <c r="N5" s="3649"/>
      <c r="O5" s="3649"/>
      <c r="P5" s="3650"/>
      <c r="Q5" s="3217"/>
    </row>
    <row r="6" spans="1:17" s="527" customFormat="1" ht="40.5" customHeight="1">
      <c r="A6" s="3686"/>
      <c r="B6" s="3688"/>
      <c r="C6" s="3688"/>
      <c r="D6" s="3690"/>
      <c r="E6" s="528" t="s">
        <v>645</v>
      </c>
      <c r="F6" s="3507" t="s">
        <v>646</v>
      </c>
      <c r="G6" s="3512"/>
      <c r="H6" s="3693"/>
      <c r="I6" s="528" t="s">
        <v>645</v>
      </c>
      <c r="J6" s="3507" t="s">
        <v>646</v>
      </c>
      <c r="K6" s="3512"/>
      <c r="L6" s="3693"/>
      <c r="M6" s="528" t="s">
        <v>645</v>
      </c>
      <c r="N6" s="3507" t="s">
        <v>646</v>
      </c>
      <c r="O6" s="3512"/>
      <c r="P6" s="3693"/>
      <c r="Q6" s="270" t="s">
        <v>647</v>
      </c>
    </row>
    <row r="7" spans="1:17" s="527" customFormat="1" ht="27.75" customHeight="1">
      <c r="A7" s="529">
        <v>1</v>
      </c>
      <c r="B7" s="530" t="s">
        <v>648</v>
      </c>
      <c r="C7" s="531" t="s">
        <v>649</v>
      </c>
      <c r="D7" s="486" t="s">
        <v>448</v>
      </c>
      <c r="E7" s="532">
        <f>'R.FILE GOC'!H25</f>
        <v>41</v>
      </c>
      <c r="F7" s="492" t="s">
        <v>650</v>
      </c>
      <c r="G7" s="493">
        <f>'R.FILE GOC'!K25</f>
        <v>0</v>
      </c>
      <c r="H7" s="209" t="s">
        <v>651</v>
      </c>
      <c r="I7" s="532">
        <f>'R.FILE GOC'!N25</f>
        <v>40</v>
      </c>
      <c r="J7" s="492" t="s">
        <v>650</v>
      </c>
      <c r="K7" s="493">
        <f>'R.FILE GOC'!Q25</f>
        <v>0</v>
      </c>
      <c r="L7" s="209" t="s">
        <v>651</v>
      </c>
      <c r="M7" s="532">
        <f>'R.FILE GOC'!T25</f>
        <v>38</v>
      </c>
      <c r="N7" s="492" t="s">
        <v>635</v>
      </c>
      <c r="O7" s="493">
        <f>'R.FILE GOC'!W25</f>
        <v>4.66</v>
      </c>
      <c r="P7" s="209" t="s">
        <v>636</v>
      </c>
      <c r="Q7" s="270" t="s">
        <v>652</v>
      </c>
    </row>
    <row r="8" spans="1:17" s="536" customFormat="1" ht="30" customHeight="1">
      <c r="A8" s="529">
        <v>2</v>
      </c>
      <c r="B8" s="533" t="s">
        <v>653</v>
      </c>
      <c r="C8" s="534" t="s">
        <v>654</v>
      </c>
      <c r="D8" s="535" t="s">
        <v>424</v>
      </c>
      <c r="E8" s="532">
        <f>'R.FILE GOC'!H26</f>
        <v>10.584999999999999</v>
      </c>
      <c r="F8" s="492" t="s">
        <v>655</v>
      </c>
      <c r="G8" s="493">
        <f>'R.FILE GOC'!K26</f>
        <v>155.89296875000008</v>
      </c>
      <c r="H8" s="209" t="s">
        <v>656</v>
      </c>
      <c r="I8" s="532">
        <f>'R.FILE GOC'!N26</f>
        <v>11.315000000000001</v>
      </c>
      <c r="J8" s="492" t="s">
        <v>655</v>
      </c>
      <c r="K8" s="493">
        <f>'R.FILE GOC'!Q26</f>
        <v>96.466406249999892</v>
      </c>
      <c r="L8" s="209" t="s">
        <v>656</v>
      </c>
      <c r="M8" s="532">
        <f>'R.FILE GOC'!T26</f>
        <v>12.3</v>
      </c>
      <c r="N8" s="492" t="s">
        <v>635</v>
      </c>
      <c r="O8" s="493">
        <f>'R.FILE GOC'!W26</f>
        <v>16.281249999999943</v>
      </c>
      <c r="P8" s="209" t="s">
        <v>656</v>
      </c>
      <c r="Q8" s="270" t="s">
        <v>657</v>
      </c>
    </row>
    <row r="9" spans="1:17" s="536" customFormat="1" ht="27.75" customHeight="1">
      <c r="A9" s="529">
        <v>3</v>
      </c>
      <c r="B9" s="3694" t="s">
        <v>658</v>
      </c>
      <c r="C9" s="3697" t="s">
        <v>429</v>
      </c>
      <c r="D9" s="486" t="s">
        <v>605</v>
      </c>
      <c r="E9" s="532">
        <f>'R.FILE GOC'!H27</f>
        <v>42.5</v>
      </c>
      <c r="F9" s="492" t="s">
        <v>650</v>
      </c>
      <c r="G9" s="493">
        <f>'R.FILE GOC'!K27</f>
        <v>37.012500000000003</v>
      </c>
      <c r="H9" s="209" t="s">
        <v>651</v>
      </c>
      <c r="I9" s="532">
        <f>'R.FILE GOC'!N27</f>
        <v>50</v>
      </c>
      <c r="J9" s="492" t="s">
        <v>650</v>
      </c>
      <c r="K9" s="493">
        <f>'R.FILE GOC'!Q27</f>
        <v>0</v>
      </c>
      <c r="L9" s="209" t="s">
        <v>651</v>
      </c>
      <c r="M9" s="532">
        <f>'R.FILE GOC'!T27</f>
        <v>43</v>
      </c>
      <c r="N9" s="492" t="s">
        <v>635</v>
      </c>
      <c r="O9" s="493">
        <f>'R.FILE GOC'!W27</f>
        <v>34.545000000000002</v>
      </c>
      <c r="P9" s="209" t="s">
        <v>636</v>
      </c>
      <c r="Q9" s="270" t="s">
        <v>659</v>
      </c>
    </row>
    <row r="10" spans="1:17" s="536" customFormat="1" ht="27.75" customHeight="1">
      <c r="A10" s="529">
        <v>4</v>
      </c>
      <c r="B10" s="3695"/>
      <c r="C10" s="3697"/>
      <c r="D10" s="486" t="s">
        <v>609</v>
      </c>
      <c r="E10" s="532">
        <f>'R.FILE GOC'!H28</f>
        <v>7.4561403508771926</v>
      </c>
      <c r="F10" s="492" t="s">
        <v>650</v>
      </c>
      <c r="G10" s="493">
        <f>'R.FILE GOC'!K28</f>
        <v>0</v>
      </c>
      <c r="H10" s="209" t="s">
        <v>651</v>
      </c>
      <c r="I10" s="532">
        <f>'R.FILE GOC'!N28</f>
        <v>7</v>
      </c>
      <c r="J10" s="492" t="s">
        <v>650</v>
      </c>
      <c r="K10" s="493">
        <f>'R.FILE GOC'!Q28</f>
        <v>0</v>
      </c>
      <c r="L10" s="209" t="s">
        <v>651</v>
      </c>
      <c r="M10" s="532">
        <f>'R.FILE GOC'!T28</f>
        <v>7.2</v>
      </c>
      <c r="N10" s="492" t="s">
        <v>635</v>
      </c>
      <c r="O10" s="493">
        <f>'R.FILE GOC'!W28</f>
        <v>0</v>
      </c>
      <c r="P10" s="209" t="s">
        <v>636</v>
      </c>
      <c r="Q10" s="270" t="s">
        <v>660</v>
      </c>
    </row>
    <row r="11" spans="1:17" s="536" customFormat="1" ht="27.75" customHeight="1">
      <c r="A11" s="529">
        <v>5</v>
      </c>
      <c r="B11" s="3696"/>
      <c r="C11" s="3697"/>
      <c r="D11" s="486" t="s">
        <v>611</v>
      </c>
      <c r="E11" s="64">
        <f>'R.FILE GOC'!H29</f>
        <v>0.11</v>
      </c>
      <c r="F11" s="492" t="s">
        <v>650</v>
      </c>
      <c r="G11" s="537">
        <f>'R.FILE GOC'!K29</f>
        <v>0</v>
      </c>
      <c r="H11" s="64" t="s">
        <v>651</v>
      </c>
      <c r="I11" s="64">
        <f>'R.FILE GOC'!N29</f>
        <v>0.12</v>
      </c>
      <c r="J11" s="492" t="s">
        <v>650</v>
      </c>
      <c r="K11" s="537">
        <f>'R.FILE GOC'!Q29</f>
        <v>0</v>
      </c>
      <c r="L11" s="64" t="s">
        <v>651</v>
      </c>
      <c r="M11" s="64">
        <f>'R.FILE GOC'!T29</f>
        <v>0.14000000000000001</v>
      </c>
      <c r="N11" s="492" t="s">
        <v>635</v>
      </c>
      <c r="O11" s="537">
        <f>'R.FILE GOC'!W29</f>
        <v>0</v>
      </c>
      <c r="P11" s="64" t="s">
        <v>636</v>
      </c>
      <c r="Q11" s="538"/>
    </row>
    <row r="12" spans="1:17" s="541" customFormat="1" ht="27.75" customHeight="1">
      <c r="A12" s="529">
        <v>6</v>
      </c>
      <c r="B12" s="3694" t="s">
        <v>661</v>
      </c>
      <c r="C12" s="531" t="s">
        <v>429</v>
      </c>
      <c r="D12" s="486" t="s">
        <v>439</v>
      </c>
      <c r="E12" s="532">
        <f>'R.FILE GOC'!H30</f>
        <v>1</v>
      </c>
      <c r="F12" s="492"/>
      <c r="G12" s="539">
        <f>'R.FILE GOC'!K30</f>
        <v>0</v>
      </c>
      <c r="H12" s="64" t="s">
        <v>651</v>
      </c>
      <c r="I12" s="532">
        <f>'R.FILE GOC'!N30</f>
        <v>0.9</v>
      </c>
      <c r="J12" s="492"/>
      <c r="K12" s="539">
        <f>'R.FILE GOC'!Q30</f>
        <v>0.12339999999999998</v>
      </c>
      <c r="L12" s="64" t="s">
        <v>651</v>
      </c>
      <c r="M12" s="532">
        <f>'R.FILE GOC'!T30</f>
        <v>0.95</v>
      </c>
      <c r="N12" s="492"/>
      <c r="O12" s="539">
        <f>'R.FILE GOC'!W30</f>
        <v>6.1700000000000053E-2</v>
      </c>
      <c r="P12" s="64" t="s">
        <v>636</v>
      </c>
      <c r="Q12" s="540" t="s">
        <v>662</v>
      </c>
    </row>
    <row r="13" spans="1:17" s="541" customFormat="1" ht="27.75" customHeight="1">
      <c r="A13" s="529">
        <v>7</v>
      </c>
      <c r="B13" s="3696"/>
      <c r="C13" s="542" t="s">
        <v>663</v>
      </c>
      <c r="D13" s="983" t="s">
        <v>964</v>
      </c>
      <c r="E13" s="532">
        <f>'R.FILE GOC'!H31</f>
        <v>10</v>
      </c>
      <c r="F13" s="492" t="s">
        <v>650</v>
      </c>
      <c r="G13" s="493">
        <f>'R.FILE GOC'!K31</f>
        <v>0</v>
      </c>
      <c r="H13" s="209" t="s">
        <v>651</v>
      </c>
      <c r="I13" s="532">
        <f>'R.FILE GOC'!N31</f>
        <v>10</v>
      </c>
      <c r="J13" s="492" t="s">
        <v>650</v>
      </c>
      <c r="K13" s="493"/>
      <c r="L13" s="209" t="s">
        <v>651</v>
      </c>
      <c r="M13" s="532">
        <f>'R.FILE GOC'!T31</f>
        <v>9.5</v>
      </c>
      <c r="N13" s="492" t="s">
        <v>635</v>
      </c>
      <c r="O13" s="493"/>
      <c r="P13" s="209" t="s">
        <v>636</v>
      </c>
      <c r="Q13" s="209"/>
    </row>
    <row r="14" spans="1:17" s="536" customFormat="1" ht="30.75" customHeight="1">
      <c r="A14" s="3698" t="s">
        <v>664</v>
      </c>
      <c r="B14" s="3698"/>
      <c r="C14" s="3698"/>
      <c r="D14" s="3698"/>
      <c r="E14" s="3698"/>
      <c r="F14" s="3698"/>
      <c r="G14" s="3698"/>
      <c r="H14" s="3698"/>
      <c r="I14" s="3698"/>
      <c r="J14" s="3698"/>
      <c r="K14" s="3698"/>
      <c r="L14" s="3698"/>
      <c r="M14" s="3698"/>
      <c r="N14" s="3698"/>
      <c r="O14" s="3698"/>
      <c r="P14" s="3698"/>
      <c r="Q14" s="3698"/>
    </row>
    <row r="15" spans="1:17" s="536" customFormat="1" ht="37.5" customHeight="1">
      <c r="A15" s="209" t="s">
        <v>665</v>
      </c>
      <c r="B15" s="543" t="s">
        <v>666</v>
      </c>
      <c r="C15" s="543" t="s">
        <v>667</v>
      </c>
      <c r="D15" s="543" t="s">
        <v>668</v>
      </c>
      <c r="E15" s="3687" t="s">
        <v>909</v>
      </c>
      <c r="F15" s="3687"/>
      <c r="G15" s="3687"/>
      <c r="H15" s="3687"/>
      <c r="I15" s="3687"/>
      <c r="J15" s="3687"/>
      <c r="K15" s="3687"/>
      <c r="L15" s="3687"/>
      <c r="M15" s="3687"/>
      <c r="N15" s="3687"/>
      <c r="O15" s="3687"/>
      <c r="P15" s="3687"/>
      <c r="Q15" s="324"/>
    </row>
    <row r="16" spans="1:17" s="536" customFormat="1" ht="27.75" customHeight="1">
      <c r="A16" s="209">
        <v>1</v>
      </c>
      <c r="B16" s="835" t="s">
        <v>863</v>
      </c>
      <c r="C16" s="544" t="s">
        <v>670</v>
      </c>
      <c r="D16" s="486" t="s">
        <v>671</v>
      </c>
      <c r="E16" s="3692">
        <f>'R.FILE GOC'!K34</f>
        <v>62</v>
      </c>
      <c r="F16" s="3692"/>
      <c r="G16" s="3692"/>
      <c r="H16" s="3692"/>
      <c r="I16" s="3692">
        <f>'R.FILE GOC'!Q34</f>
        <v>60</v>
      </c>
      <c r="J16" s="3692"/>
      <c r="K16" s="3692"/>
      <c r="L16" s="3692"/>
      <c r="M16" s="3692">
        <f>'R.FILE GOC'!W34</f>
        <v>59</v>
      </c>
      <c r="N16" s="3692"/>
      <c r="O16" s="3692"/>
      <c r="P16" s="3692"/>
      <c r="Q16" s="493"/>
    </row>
    <row r="17" spans="1:17" s="536" customFormat="1" ht="27.75" customHeight="1">
      <c r="A17" s="209">
        <v>2</v>
      </c>
      <c r="B17" s="543" t="s">
        <v>672</v>
      </c>
      <c r="C17" s="544" t="s">
        <v>670</v>
      </c>
      <c r="D17" s="486" t="s">
        <v>673</v>
      </c>
      <c r="E17" s="3692">
        <f>'R.FILE GOC'!K35</f>
        <v>66</v>
      </c>
      <c r="F17" s="3692"/>
      <c r="G17" s="3692"/>
      <c r="H17" s="3692"/>
      <c r="I17" s="3692">
        <f>'R.FILE GOC'!Q35</f>
        <v>66</v>
      </c>
      <c r="J17" s="3692"/>
      <c r="K17" s="3692"/>
      <c r="L17" s="3692"/>
      <c r="M17" s="3692">
        <f>'R.FILE GOC'!W35</f>
        <v>66</v>
      </c>
      <c r="N17" s="3692"/>
      <c r="O17" s="3692"/>
      <c r="P17" s="3692"/>
      <c r="Q17" s="493"/>
    </row>
    <row r="18" spans="1:17" s="536" customFormat="1" ht="27.75" customHeight="1">
      <c r="A18" s="209">
        <v>3</v>
      </c>
      <c r="B18" s="543" t="s">
        <v>674</v>
      </c>
      <c r="C18" s="544" t="s">
        <v>670</v>
      </c>
      <c r="D18" s="486" t="s">
        <v>675</v>
      </c>
      <c r="E18" s="3692">
        <f>'R.FILE GOC'!K36</f>
        <v>84</v>
      </c>
      <c r="F18" s="3692"/>
      <c r="G18" s="3692"/>
      <c r="H18" s="3692"/>
      <c r="I18" s="3692">
        <f>'R.FILE GOC'!Q36</f>
        <v>83</v>
      </c>
      <c r="J18" s="3692"/>
      <c r="K18" s="3692"/>
      <c r="L18" s="3692"/>
      <c r="M18" s="3692">
        <f>'R.FILE GOC'!W36</f>
        <v>82</v>
      </c>
      <c r="N18" s="3692"/>
      <c r="O18" s="3692"/>
      <c r="P18" s="3692"/>
      <c r="Q18" s="493"/>
    </row>
    <row r="19" spans="1:17" ht="36.75" customHeight="1">
      <c r="A19" s="3636" t="s">
        <v>911</v>
      </c>
      <c r="B19" s="3636"/>
      <c r="C19" s="3636"/>
      <c r="D19" s="3636"/>
      <c r="E19" s="3636"/>
      <c r="F19" s="3636"/>
      <c r="G19" s="3636"/>
      <c r="H19" s="3636"/>
      <c r="I19" s="3636"/>
      <c r="J19" s="3636"/>
      <c r="K19" s="3636"/>
      <c r="L19" s="3636"/>
      <c r="M19" s="474"/>
      <c r="N19" s="474"/>
      <c r="O19" s="474"/>
      <c r="P19" s="474"/>
      <c r="Q19" s="545"/>
    </row>
    <row r="20" spans="1:17" ht="21.75" customHeight="1">
      <c r="A20" s="475"/>
      <c r="B20" s="476" t="s">
        <v>676</v>
      </c>
      <c r="C20" s="477"/>
      <c r="D20" s="477"/>
      <c r="E20" s="477"/>
      <c r="F20" s="477"/>
      <c r="G20" s="477"/>
      <c r="H20" s="477"/>
      <c r="I20" s="3691"/>
      <c r="J20" s="3691"/>
      <c r="K20" s="3691"/>
      <c r="L20" s="525"/>
      <c r="M20" s="3691"/>
      <c r="N20" s="3691"/>
      <c r="O20" s="3691"/>
      <c r="P20" s="525"/>
      <c r="Q20" s="546"/>
    </row>
    <row r="21" spans="1:17" s="527" customFormat="1" ht="37.5" customHeight="1">
      <c r="A21" s="3684" t="s">
        <v>677</v>
      </c>
      <c r="B21" s="3687" t="s">
        <v>641</v>
      </c>
      <c r="C21" s="3687" t="s">
        <v>642</v>
      </c>
      <c r="D21" s="3689" t="s">
        <v>643</v>
      </c>
      <c r="E21" s="3661" t="s">
        <v>910</v>
      </c>
      <c r="F21" s="3662"/>
      <c r="G21" s="3662"/>
      <c r="H21" s="3662"/>
      <c r="I21" s="3662"/>
      <c r="J21" s="3662"/>
      <c r="K21" s="3662"/>
      <c r="L21" s="3662"/>
      <c r="M21" s="3662"/>
      <c r="N21" s="3662"/>
      <c r="O21" s="3662"/>
      <c r="P21" s="3663"/>
      <c r="Q21" s="3205" t="s">
        <v>644</v>
      </c>
    </row>
    <row r="22" spans="1:17" s="527" customFormat="1" ht="20.25" customHeight="1">
      <c r="A22" s="3685"/>
      <c r="B22" s="3687"/>
      <c r="C22" s="3687"/>
      <c r="D22" s="3689"/>
      <c r="E22" s="3646">
        <v>0.875</v>
      </c>
      <c r="F22" s="3647"/>
      <c r="G22" s="3647"/>
      <c r="H22" s="3647"/>
      <c r="I22" s="3648">
        <v>8.3333333333333329E-2</v>
      </c>
      <c r="J22" s="3649"/>
      <c r="K22" s="3649"/>
      <c r="L22" s="3650"/>
      <c r="M22" s="3648">
        <v>0.22916666666666666</v>
      </c>
      <c r="N22" s="3649"/>
      <c r="O22" s="3649"/>
      <c r="P22" s="3650"/>
      <c r="Q22" s="3205"/>
    </row>
    <row r="23" spans="1:17" s="527" customFormat="1" ht="36" customHeight="1">
      <c r="A23" s="3686"/>
      <c r="B23" s="3688"/>
      <c r="C23" s="3688"/>
      <c r="D23" s="3690"/>
      <c r="E23" s="528" t="s">
        <v>645</v>
      </c>
      <c r="F23" s="3507" t="s">
        <v>646</v>
      </c>
      <c r="G23" s="3512"/>
      <c r="H23" s="3693"/>
      <c r="I23" s="528" t="s">
        <v>645</v>
      </c>
      <c r="J23" s="3507" t="s">
        <v>646</v>
      </c>
      <c r="K23" s="3512"/>
      <c r="L23" s="3693"/>
      <c r="M23" s="528" t="s">
        <v>645</v>
      </c>
      <c r="N23" s="3507" t="s">
        <v>646</v>
      </c>
      <c r="O23" s="3512"/>
      <c r="P23" s="3693"/>
      <c r="Q23" s="270" t="s">
        <v>647</v>
      </c>
    </row>
    <row r="24" spans="1:17" s="527" customFormat="1" ht="30.75" customHeight="1">
      <c r="A24" s="529">
        <v>1</v>
      </c>
      <c r="B24" s="530" t="s">
        <v>648</v>
      </c>
      <c r="C24" s="531" t="s">
        <v>649</v>
      </c>
      <c r="D24" s="486" t="s">
        <v>448</v>
      </c>
      <c r="E24" s="532">
        <f>'R.FILE GOC'!Z25</f>
        <v>40</v>
      </c>
      <c r="F24" s="492" t="s">
        <v>601</v>
      </c>
      <c r="G24" s="493">
        <f>'R.FILE GOC'!AC25</f>
        <v>0</v>
      </c>
      <c r="H24" s="209" t="s">
        <v>678</v>
      </c>
      <c r="I24" s="532">
        <f>'R.FILE GOC'!AF25</f>
        <v>41</v>
      </c>
      <c r="J24" s="492" t="s">
        <v>601</v>
      </c>
      <c r="K24" s="493">
        <f>'R.FILE GOC'!AI25</f>
        <v>0</v>
      </c>
      <c r="L24" s="209" t="s">
        <v>678</v>
      </c>
      <c r="M24" s="532">
        <f>'R.FILE GOC'!AL25</f>
        <v>40</v>
      </c>
      <c r="N24" s="492" t="s">
        <v>601</v>
      </c>
      <c r="O24" s="493">
        <f>'R.FILE GOC'!AO25</f>
        <v>0</v>
      </c>
      <c r="P24" s="209" t="s">
        <v>678</v>
      </c>
      <c r="Q24" s="270" t="s">
        <v>652</v>
      </c>
    </row>
    <row r="25" spans="1:17" s="536" customFormat="1" ht="30.75" customHeight="1">
      <c r="A25" s="529">
        <v>2</v>
      </c>
      <c r="B25" s="533" t="s">
        <v>653</v>
      </c>
      <c r="C25" s="534" t="s">
        <v>679</v>
      </c>
      <c r="D25" s="535" t="s">
        <v>600</v>
      </c>
      <c r="E25" s="532">
        <f>'R.FILE GOC'!Z26</f>
        <v>10.584999999999999</v>
      </c>
      <c r="F25" s="492" t="s">
        <v>601</v>
      </c>
      <c r="G25" s="493">
        <f>'R.FILE GOC'!AC26</f>
        <v>155.89296875000008</v>
      </c>
      <c r="H25" s="209" t="s">
        <v>680</v>
      </c>
      <c r="I25" s="532">
        <f>'R.FILE GOC'!AF26</f>
        <v>12</v>
      </c>
      <c r="J25" s="492" t="s">
        <v>601</v>
      </c>
      <c r="K25" s="493">
        <f>'R.FILE GOC'!AI26</f>
        <v>40.703125</v>
      </c>
      <c r="L25" s="209" t="s">
        <v>680</v>
      </c>
      <c r="M25" s="532">
        <f>'R.FILE GOC'!AL26</f>
        <v>11.5</v>
      </c>
      <c r="N25" s="492" t="s">
        <v>601</v>
      </c>
      <c r="O25" s="493">
        <f>'R.FILE GOC'!AO26</f>
        <v>81.40625</v>
      </c>
      <c r="P25" s="209" t="s">
        <v>680</v>
      </c>
      <c r="Q25" s="270" t="s">
        <v>657</v>
      </c>
    </row>
    <row r="26" spans="1:17" s="536" customFormat="1" ht="30.75" customHeight="1">
      <c r="A26" s="529">
        <v>3</v>
      </c>
      <c r="B26" s="3694" t="s">
        <v>681</v>
      </c>
      <c r="C26" s="3697" t="s">
        <v>682</v>
      </c>
      <c r="D26" s="486" t="s">
        <v>605</v>
      </c>
      <c r="E26" s="532">
        <f>'R.FILE GOC'!Z27</f>
        <v>48</v>
      </c>
      <c r="F26" s="492" t="s">
        <v>601</v>
      </c>
      <c r="G26" s="493">
        <f>'R.FILE GOC'!AC27</f>
        <v>9.8699999999999992</v>
      </c>
      <c r="H26" s="209" t="s">
        <v>678</v>
      </c>
      <c r="I26" s="532">
        <f>'R.FILE GOC'!AF27</f>
        <v>47</v>
      </c>
      <c r="J26" s="492" t="s">
        <v>601</v>
      </c>
      <c r="K26" s="493">
        <f>'R.FILE GOC'!AI27</f>
        <v>14.805</v>
      </c>
      <c r="L26" s="209" t="s">
        <v>678</v>
      </c>
      <c r="M26" s="532">
        <f>'R.FILE GOC'!AL27</f>
        <v>50</v>
      </c>
      <c r="N26" s="492" t="s">
        <v>601</v>
      </c>
      <c r="O26" s="493">
        <f>'R.FILE GOC'!AO27</f>
        <v>0</v>
      </c>
      <c r="P26" s="209" t="s">
        <v>678</v>
      </c>
      <c r="Q26" s="270" t="s">
        <v>659</v>
      </c>
    </row>
    <row r="27" spans="1:17" s="536" customFormat="1" ht="30.75" customHeight="1">
      <c r="A27" s="529">
        <v>4</v>
      </c>
      <c r="B27" s="3695"/>
      <c r="C27" s="3697"/>
      <c r="D27" s="486" t="s">
        <v>609</v>
      </c>
      <c r="E27" s="532">
        <f>'R.FILE GOC'!Z28</f>
        <v>7.5</v>
      </c>
      <c r="F27" s="492" t="s">
        <v>601</v>
      </c>
      <c r="G27" s="493">
        <f>'R.FILE GOC'!AC28</f>
        <v>0</v>
      </c>
      <c r="H27" s="209" t="s">
        <v>678</v>
      </c>
      <c r="I27" s="532">
        <f>'R.FILE GOC'!AF28</f>
        <v>7.1</v>
      </c>
      <c r="J27" s="492" t="s">
        <v>601</v>
      </c>
      <c r="K27" s="493">
        <f>'R.FILE GOC'!AI28</f>
        <v>0</v>
      </c>
      <c r="L27" s="209" t="s">
        <v>678</v>
      </c>
      <c r="M27" s="532">
        <f>'R.FILE GOC'!AL28</f>
        <v>6.8</v>
      </c>
      <c r="N27" s="492" t="s">
        <v>601</v>
      </c>
      <c r="O27" s="493">
        <f>'R.FILE GOC'!AO28</f>
        <v>0</v>
      </c>
      <c r="P27" s="209" t="s">
        <v>678</v>
      </c>
      <c r="Q27" s="270" t="s">
        <v>660</v>
      </c>
    </row>
    <row r="28" spans="1:17" s="536" customFormat="1" ht="30.75" customHeight="1">
      <c r="A28" s="529">
        <v>5</v>
      </c>
      <c r="B28" s="3696"/>
      <c r="C28" s="3697"/>
      <c r="D28" s="486" t="s">
        <v>611</v>
      </c>
      <c r="E28" s="64">
        <f>'R.FILE GOC'!Z29</f>
        <v>0.14000000000000001</v>
      </c>
      <c r="F28" s="492" t="s">
        <v>601</v>
      </c>
      <c r="G28" s="537">
        <f>'R.FILE GOC'!AC29</f>
        <v>0</v>
      </c>
      <c r="H28" s="64" t="s">
        <v>678</v>
      </c>
      <c r="I28" s="64">
        <f>'R.FILE GOC'!AF29</f>
        <v>0.2</v>
      </c>
      <c r="J28" s="492" t="s">
        <v>601</v>
      </c>
      <c r="K28" s="537">
        <f>'R.FILE GOC'!AI29</f>
        <v>0</v>
      </c>
      <c r="L28" s="64" t="s">
        <v>678</v>
      </c>
      <c r="M28" s="64">
        <f>'R.FILE GOC'!AL29</f>
        <v>0.25</v>
      </c>
      <c r="N28" s="492" t="s">
        <v>601</v>
      </c>
      <c r="O28" s="537" t="str">
        <f>'R.FILE GOC'!AO29</f>
        <v>N/A</v>
      </c>
      <c r="P28" s="64" t="s">
        <v>678</v>
      </c>
      <c r="Q28" s="538"/>
    </row>
    <row r="29" spans="1:17" s="541" customFormat="1" ht="30.75" customHeight="1">
      <c r="A29" s="529">
        <v>6</v>
      </c>
      <c r="B29" s="3694" t="s">
        <v>661</v>
      </c>
      <c r="C29" s="531" t="s">
        <v>429</v>
      </c>
      <c r="D29" s="486" t="s">
        <v>439</v>
      </c>
      <c r="E29" s="532">
        <f>'R.FILE GOC'!Z30</f>
        <v>0.95</v>
      </c>
      <c r="F29" s="547" t="s">
        <v>601</v>
      </c>
      <c r="G29" s="539">
        <f>'R.FILE GOC'!AC30</f>
        <v>6.1700000000000053E-2</v>
      </c>
      <c r="H29" s="532" t="s">
        <v>678</v>
      </c>
      <c r="I29" s="532">
        <f>'R.FILE GOC'!AF30</f>
        <v>0.95</v>
      </c>
      <c r="J29" s="547" t="s">
        <v>601</v>
      </c>
      <c r="K29" s="539">
        <f>'R.FILE GOC'!AI30</f>
        <v>6.1700000000000053E-2</v>
      </c>
      <c r="L29" s="532" t="s">
        <v>678</v>
      </c>
      <c r="M29" s="532">
        <f>'R.FILE GOC'!AL30</f>
        <v>0.95</v>
      </c>
      <c r="N29" s="547" t="s">
        <v>601</v>
      </c>
      <c r="O29" s="539">
        <f>'R.FILE GOC'!AO30</f>
        <v>6.1700000000000053E-2</v>
      </c>
      <c r="P29" s="532" t="s">
        <v>678</v>
      </c>
      <c r="Q29" s="540" t="s">
        <v>662</v>
      </c>
    </row>
    <row r="30" spans="1:17" s="541" customFormat="1" ht="30.75" customHeight="1">
      <c r="A30" s="529">
        <v>7</v>
      </c>
      <c r="B30" s="3696"/>
      <c r="C30" s="542" t="s">
        <v>683</v>
      </c>
      <c r="D30" s="983" t="s">
        <v>964</v>
      </c>
      <c r="E30" s="532">
        <f>'R.FILE GOC'!Z31</f>
        <v>10</v>
      </c>
      <c r="F30" s="492" t="s">
        <v>601</v>
      </c>
      <c r="G30" s="493"/>
      <c r="H30" s="209" t="s">
        <v>678</v>
      </c>
      <c r="I30" s="532">
        <f>'R.FILE GOC'!AF31</f>
        <v>10</v>
      </c>
      <c r="J30" s="492" t="s">
        <v>601</v>
      </c>
      <c r="K30" s="493"/>
      <c r="L30" s="209" t="s">
        <v>678</v>
      </c>
      <c r="M30" s="532">
        <f>'R.FILE GOC'!AL31</f>
        <v>10</v>
      </c>
      <c r="N30" s="492" t="s">
        <v>601</v>
      </c>
      <c r="O30" s="493"/>
      <c r="P30" s="209" t="s">
        <v>678</v>
      </c>
      <c r="Q30" s="209"/>
    </row>
    <row r="31" spans="1:17" s="536" customFormat="1" ht="25.5" customHeight="1">
      <c r="A31" s="3698" t="s">
        <v>664</v>
      </c>
      <c r="B31" s="3698"/>
      <c r="C31" s="3698"/>
      <c r="D31" s="3698"/>
      <c r="E31" s="3698"/>
      <c r="F31" s="3698"/>
      <c r="G31" s="3698"/>
      <c r="H31" s="3698"/>
      <c r="I31" s="3698"/>
      <c r="J31" s="3698"/>
      <c r="K31" s="3698"/>
      <c r="L31" s="3698"/>
      <c r="M31" s="3698"/>
      <c r="N31" s="3698"/>
      <c r="O31" s="3698"/>
      <c r="P31" s="3698"/>
      <c r="Q31" s="3698"/>
    </row>
    <row r="32" spans="1:17" s="536" customFormat="1" ht="38.25" customHeight="1">
      <c r="A32" s="209" t="s">
        <v>684</v>
      </c>
      <c r="B32" s="543" t="s">
        <v>666</v>
      </c>
      <c r="C32" s="543" t="s">
        <v>667</v>
      </c>
      <c r="D32" s="543" t="s">
        <v>668</v>
      </c>
      <c r="E32" s="3687" t="s">
        <v>909</v>
      </c>
      <c r="F32" s="3687"/>
      <c r="G32" s="3687"/>
      <c r="H32" s="3687"/>
      <c r="I32" s="3687"/>
      <c r="J32" s="3687"/>
      <c r="K32" s="3687"/>
      <c r="L32" s="3687"/>
      <c r="M32" s="3687"/>
      <c r="N32" s="3687"/>
      <c r="O32" s="3687"/>
      <c r="P32" s="3687"/>
      <c r="Q32" s="324"/>
    </row>
    <row r="33" spans="1:17" s="536" customFormat="1" ht="30" customHeight="1">
      <c r="A33" s="209">
        <v>1</v>
      </c>
      <c r="B33" s="835" t="s">
        <v>865</v>
      </c>
      <c r="C33" s="544" t="s">
        <v>670</v>
      </c>
      <c r="D33" s="486" t="s">
        <v>671</v>
      </c>
      <c r="E33" s="3692">
        <f>'R.FILE GOC'!AC34</f>
        <v>60</v>
      </c>
      <c r="F33" s="3692"/>
      <c r="G33" s="3692"/>
      <c r="H33" s="3692"/>
      <c r="I33" s="3692">
        <f>'R.FILE GOC'!AI34</f>
        <v>59</v>
      </c>
      <c r="J33" s="3692"/>
      <c r="K33" s="3692"/>
      <c r="L33" s="3692"/>
      <c r="M33" s="3692">
        <v>58</v>
      </c>
      <c r="N33" s="3692"/>
      <c r="O33" s="3692"/>
      <c r="P33" s="3692"/>
      <c r="Q33" s="493"/>
    </row>
    <row r="34" spans="1:17" s="536" customFormat="1" ht="30" customHeight="1">
      <c r="A34" s="209">
        <v>2</v>
      </c>
      <c r="B34" s="543" t="s">
        <v>685</v>
      </c>
      <c r="C34" s="544" t="s">
        <v>670</v>
      </c>
      <c r="D34" s="486" t="s">
        <v>673</v>
      </c>
      <c r="E34" s="3692">
        <f>'R.FILE GOC'!AC35</f>
        <v>66</v>
      </c>
      <c r="F34" s="3692"/>
      <c r="G34" s="3692"/>
      <c r="H34" s="3692"/>
      <c r="I34" s="3692">
        <f>'R.FILE GOC'!AI35</f>
        <v>67</v>
      </c>
      <c r="J34" s="3692"/>
      <c r="K34" s="3692"/>
      <c r="L34" s="3692"/>
      <c r="M34" s="3692">
        <v>69</v>
      </c>
      <c r="N34" s="3692"/>
      <c r="O34" s="3692"/>
      <c r="P34" s="3692"/>
      <c r="Q34" s="493"/>
    </row>
    <row r="35" spans="1:17" s="536" customFormat="1" ht="30" customHeight="1">
      <c r="A35" s="209">
        <v>3</v>
      </c>
      <c r="B35" s="543" t="s">
        <v>674</v>
      </c>
      <c r="C35" s="544" t="s">
        <v>670</v>
      </c>
      <c r="D35" s="486" t="s">
        <v>675</v>
      </c>
      <c r="E35" s="3692">
        <f>'R.FILE GOC'!AC36</f>
        <v>81</v>
      </c>
      <c r="F35" s="3692"/>
      <c r="G35" s="3692"/>
      <c r="H35" s="3692"/>
      <c r="I35" s="3692">
        <f>'R.FILE GOC'!AI36</f>
        <v>84</v>
      </c>
      <c r="J35" s="3692"/>
      <c r="K35" s="3692"/>
      <c r="L35" s="3692"/>
      <c r="M35" s="3692">
        <v>82</v>
      </c>
      <c r="N35" s="3692"/>
      <c r="O35" s="3692"/>
      <c r="P35" s="3692"/>
      <c r="Q35" s="493"/>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7" type="noConversion"/>
  <conditionalFormatting sqref="E17:L17 E34:H34">
    <cfRule type="expression" dxfId="1271" priority="17">
      <formula>E17&lt;65</formula>
    </cfRule>
    <cfRule type="expression" dxfId="1270" priority="18">
      <formula>E17&gt;85</formula>
    </cfRule>
  </conditionalFormatting>
  <conditionalFormatting sqref="E18:L18 E35:H35">
    <cfRule type="expression" dxfId="1269" priority="15">
      <formula>E18&lt;80</formula>
    </cfRule>
    <cfRule type="expression" dxfId="1268" priority="16">
      <formula>E18&gt;90</formula>
    </cfRule>
  </conditionalFormatting>
  <conditionalFormatting sqref="E16 I16 E33">
    <cfRule type="expression" dxfId="1267" priority="13">
      <formula>E16&lt;55</formula>
    </cfRule>
    <cfRule type="expression" dxfId="1266" priority="14">
      <formula>E16&gt;65</formula>
    </cfRule>
  </conditionalFormatting>
  <conditionalFormatting sqref="M17:P17">
    <cfRule type="expression" dxfId="1265" priority="11">
      <formula>M17&lt;65</formula>
    </cfRule>
    <cfRule type="expression" dxfId="1264" priority="12">
      <formula>M17&gt;85</formula>
    </cfRule>
  </conditionalFormatting>
  <conditionalFormatting sqref="M18:P18">
    <cfRule type="expression" dxfId="1263" priority="9">
      <formula>M18&lt;80</formula>
    </cfRule>
    <cfRule type="expression" dxfId="1262" priority="10">
      <formula>M18&gt;90</formula>
    </cfRule>
  </conditionalFormatting>
  <conditionalFormatting sqref="M16">
    <cfRule type="expression" dxfId="1261" priority="7">
      <formula>M16&lt;55</formula>
    </cfRule>
    <cfRule type="expression" dxfId="1260" priority="8">
      <formula>M16&gt;65</formula>
    </cfRule>
  </conditionalFormatting>
  <conditionalFormatting sqref="I34:P34">
    <cfRule type="expression" dxfId="1259" priority="5">
      <formula>I34&lt;65</formula>
    </cfRule>
    <cfRule type="expression" dxfId="1258" priority="6">
      <formula>I34&gt;85</formula>
    </cfRule>
  </conditionalFormatting>
  <conditionalFormatting sqref="I35:P35">
    <cfRule type="expression" dxfId="1257" priority="3">
      <formula>I35&lt;80</formula>
    </cfRule>
    <cfRule type="expression" dxfId="1256" priority="4">
      <formula>I35&gt;90</formula>
    </cfRule>
  </conditionalFormatting>
  <conditionalFormatting sqref="I33 M33">
    <cfRule type="expression" dxfId="1255" priority="1">
      <formula>I33&lt;55</formula>
    </cfRule>
    <cfRule type="expression" dxfId="1254"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5">
    <tabColor rgb="FFFFC000"/>
  </sheetPr>
  <dimension ref="A1:R42"/>
  <sheetViews>
    <sheetView zoomScale="70" zoomScaleNormal="70" workbookViewId="0">
      <selection sqref="A1:M1"/>
    </sheetView>
  </sheetViews>
  <sheetFormatPr defaultRowHeight="13.5"/>
  <cols>
    <col min="1" max="1" width="5.5" style="473" customWidth="1"/>
    <col min="2" max="2" width="24.625" style="523" customWidth="1"/>
    <col min="3" max="3" width="11.5" style="523" hidden="1" customWidth="1"/>
    <col min="4" max="4" width="10" style="473" customWidth="1"/>
    <col min="5" max="5" width="15.5" style="473" customWidth="1"/>
    <col min="6" max="6" width="9.25" style="473" customWidth="1"/>
    <col min="7" max="7" width="3.875" style="473" customWidth="1"/>
    <col min="8" max="8" width="7.875" style="473" customWidth="1"/>
    <col min="9" max="9" width="4.375" style="473" customWidth="1"/>
    <col min="10" max="10" width="9.625" style="473" customWidth="1"/>
    <col min="11" max="11" width="2.625" style="473" customWidth="1"/>
    <col min="12" max="12" width="7.875" style="473" customWidth="1"/>
    <col min="13" max="13" width="4.25" style="473" customWidth="1"/>
    <col min="14" max="14" width="9.625" style="473" customWidth="1"/>
    <col min="15" max="15" width="2.625" style="473" customWidth="1"/>
    <col min="16" max="16" width="7.875" style="473" customWidth="1"/>
    <col min="17" max="17" width="4.25" style="473" customWidth="1"/>
    <col min="18" max="18" width="13.875" style="473" customWidth="1"/>
    <col min="19" max="16384" width="9" style="473"/>
  </cols>
  <sheetData>
    <row r="1" spans="1:18" ht="27.75" customHeight="1">
      <c r="A1" s="3635" t="s">
        <v>585</v>
      </c>
      <c r="B1" s="3635"/>
      <c r="C1" s="3635"/>
      <c r="D1" s="3635"/>
      <c r="E1" s="3635"/>
      <c r="F1" s="3635"/>
      <c r="G1" s="3635"/>
      <c r="H1" s="3635"/>
      <c r="I1" s="3635"/>
      <c r="J1" s="3635"/>
      <c r="K1" s="3635"/>
      <c r="L1" s="3635"/>
      <c r="M1" s="3635"/>
      <c r="N1" s="471"/>
      <c r="O1" s="471"/>
      <c r="P1" s="471"/>
      <c r="Q1" s="471"/>
      <c r="R1" s="471"/>
    </row>
    <row r="2" spans="1:18" ht="36.75" customHeight="1">
      <c r="A2" s="3636" t="s">
        <v>914</v>
      </c>
      <c r="B2" s="3636"/>
      <c r="C2" s="3636"/>
      <c r="D2" s="3636"/>
      <c r="E2" s="3636"/>
      <c r="F2" s="3636"/>
      <c r="G2" s="3636"/>
      <c r="H2" s="3636"/>
      <c r="I2" s="3636"/>
      <c r="J2" s="3636"/>
      <c r="K2" s="3636"/>
      <c r="L2" s="3636"/>
      <c r="M2" s="3636"/>
      <c r="N2" s="474"/>
      <c r="O2" s="474"/>
      <c r="P2" s="3292" t="s">
        <v>638</v>
      </c>
      <c r="Q2" s="3294"/>
      <c r="R2" s="74" t="s">
        <v>17</v>
      </c>
    </row>
    <row r="3" spans="1:18" ht="27" customHeight="1">
      <c r="A3" s="475"/>
      <c r="B3" s="476" t="s">
        <v>588</v>
      </c>
      <c r="C3" s="476"/>
      <c r="D3" s="1991" t="str">
        <f>MENU!$AC$9</f>
        <v>Thứ 5,</v>
      </c>
      <c r="E3" s="1815" t="str">
        <f>MENU!$AD$9</f>
        <v>2024/08/01</v>
      </c>
      <c r="F3" s="477"/>
      <c r="G3" s="477"/>
      <c r="H3" s="477"/>
      <c r="I3" s="477"/>
      <c r="J3" s="3691"/>
      <c r="K3" s="3691"/>
      <c r="L3" s="3691"/>
      <c r="M3" s="525"/>
      <c r="N3" s="476"/>
      <c r="O3" s="476"/>
      <c r="P3" s="3641" t="str">
        <f>'1.xi den'!$R$3</f>
        <v>L.Yen</v>
      </c>
      <c r="Q3" s="3642"/>
      <c r="R3" s="526" t="s">
        <v>639</v>
      </c>
    </row>
    <row r="4" spans="1:18" s="527" customFormat="1" ht="42" customHeight="1">
      <c r="A4" s="3684" t="s">
        <v>677</v>
      </c>
      <c r="B4" s="3687" t="s">
        <v>641</v>
      </c>
      <c r="C4" s="543"/>
      <c r="D4" s="3687" t="s">
        <v>642</v>
      </c>
      <c r="E4" s="3689" t="s">
        <v>643</v>
      </c>
      <c r="F4" s="3661" t="s">
        <v>913</v>
      </c>
      <c r="G4" s="3662"/>
      <c r="H4" s="3662"/>
      <c r="I4" s="3662"/>
      <c r="J4" s="3662"/>
      <c r="K4" s="3662"/>
      <c r="L4" s="3662"/>
      <c r="M4" s="3662"/>
      <c r="N4" s="3662"/>
      <c r="O4" s="3662"/>
      <c r="P4" s="3662"/>
      <c r="Q4" s="3663"/>
      <c r="R4" s="3216" t="s">
        <v>644</v>
      </c>
    </row>
    <row r="5" spans="1:18" s="527" customFormat="1" ht="24" customHeight="1">
      <c r="A5" s="3685"/>
      <c r="B5" s="3687"/>
      <c r="C5" s="543"/>
      <c r="D5" s="3687"/>
      <c r="E5" s="3689"/>
      <c r="F5" s="3646">
        <v>0.375</v>
      </c>
      <c r="G5" s="3647"/>
      <c r="H5" s="3647"/>
      <c r="I5" s="3647"/>
      <c r="J5" s="3648">
        <v>0.5625</v>
      </c>
      <c r="K5" s="3649"/>
      <c r="L5" s="3649"/>
      <c r="M5" s="3650"/>
      <c r="N5" s="3648">
        <v>0.70833333333333337</v>
      </c>
      <c r="O5" s="3649"/>
      <c r="P5" s="3649"/>
      <c r="Q5" s="3650"/>
      <c r="R5" s="3217"/>
    </row>
    <row r="6" spans="1:18" s="527" customFormat="1" ht="42.75" customHeight="1">
      <c r="A6" s="3686"/>
      <c r="B6" s="3688"/>
      <c r="C6" s="209"/>
      <c r="D6" s="3688"/>
      <c r="E6" s="3690"/>
      <c r="F6" s="528" t="s">
        <v>645</v>
      </c>
      <c r="G6" s="3507" t="s">
        <v>646</v>
      </c>
      <c r="H6" s="3512"/>
      <c r="I6" s="3693"/>
      <c r="J6" s="528" t="s">
        <v>645</v>
      </c>
      <c r="K6" s="3507" t="s">
        <v>646</v>
      </c>
      <c r="L6" s="3512"/>
      <c r="M6" s="3693"/>
      <c r="N6" s="528" t="s">
        <v>645</v>
      </c>
      <c r="O6" s="3507" t="s">
        <v>646</v>
      </c>
      <c r="P6" s="3512"/>
      <c r="Q6" s="3693"/>
      <c r="R6" s="540" t="s">
        <v>686</v>
      </c>
    </row>
    <row r="7" spans="1:18" s="536" customFormat="1" ht="24" customHeight="1">
      <c r="A7" s="529">
        <v>1</v>
      </c>
      <c r="B7" s="530" t="s">
        <v>856</v>
      </c>
      <c r="C7" s="834" t="s">
        <v>649</v>
      </c>
      <c r="D7" s="834" t="s">
        <v>649</v>
      </c>
      <c r="E7" s="838" t="s">
        <v>448</v>
      </c>
      <c r="F7" s="487">
        <f>'R.FILE GOC'!H41</f>
        <v>0</v>
      </c>
      <c r="G7" s="488" t="s">
        <v>860</v>
      </c>
      <c r="H7" s="489">
        <f>'R.FILE GOC'!K41</f>
        <v>93.2</v>
      </c>
      <c r="I7" s="832" t="s">
        <v>861</v>
      </c>
      <c r="J7" s="487">
        <f>'R.FILE GOC'!N41</f>
        <v>0</v>
      </c>
      <c r="K7" s="488" t="s">
        <v>860</v>
      </c>
      <c r="L7" s="489">
        <f>'R.FILE GOC'!Q41</f>
        <v>93.2</v>
      </c>
      <c r="M7" s="832" t="s">
        <v>861</v>
      </c>
      <c r="N7" s="487">
        <f>'R.FILE GOC'!T41</f>
        <v>0</v>
      </c>
      <c r="O7" s="488" t="s">
        <v>860</v>
      </c>
      <c r="P7" s="489">
        <f>'R.FILE GOC'!W41</f>
        <v>93.2</v>
      </c>
      <c r="Q7" s="836" t="s">
        <v>651</v>
      </c>
      <c r="R7" s="540" t="s">
        <v>687</v>
      </c>
    </row>
    <row r="8" spans="1:18" s="536" customFormat="1" ht="21" customHeight="1">
      <c r="A8" s="529">
        <v>2</v>
      </c>
      <c r="B8" s="833" t="s">
        <v>653</v>
      </c>
      <c r="C8" s="534" t="s">
        <v>654</v>
      </c>
      <c r="D8" s="534" t="s">
        <v>654</v>
      </c>
      <c r="E8" s="837" t="s">
        <v>424</v>
      </c>
      <c r="F8" s="839">
        <f>'R.FILE GOC'!H42</f>
        <v>0</v>
      </c>
      <c r="G8" s="488" t="s">
        <v>860</v>
      </c>
      <c r="H8" s="489">
        <f>'R.FILE GOC'!K42</f>
        <v>1017.578125</v>
      </c>
      <c r="I8" s="832" t="s">
        <v>862</v>
      </c>
      <c r="J8" s="839">
        <f>'R.FILE GOC'!N42</f>
        <v>0</v>
      </c>
      <c r="K8" s="488" t="s">
        <v>860</v>
      </c>
      <c r="L8" s="489">
        <f>'R.FILE GOC'!Q42</f>
        <v>1017.578125</v>
      </c>
      <c r="M8" s="832" t="s">
        <v>862</v>
      </c>
      <c r="N8" s="839">
        <f>'R.FILE GOC'!T42</f>
        <v>0</v>
      </c>
      <c r="O8" s="488"/>
      <c r="P8" s="489">
        <f>'R.FILE GOC'!W42</f>
        <v>1017.578125</v>
      </c>
      <c r="Q8" s="209"/>
      <c r="R8" s="540"/>
    </row>
    <row r="9" spans="1:18" s="536" customFormat="1" ht="29.25" customHeight="1">
      <c r="A9" s="529">
        <v>3</v>
      </c>
      <c r="B9" s="3694" t="s">
        <v>688</v>
      </c>
      <c r="C9" s="533"/>
      <c r="D9" s="3697" t="s">
        <v>429</v>
      </c>
      <c r="E9" s="486" t="s">
        <v>605</v>
      </c>
      <c r="F9" s="532">
        <f>'R.FILE GOC'!H43</f>
        <v>0</v>
      </c>
      <c r="G9" s="492" t="s">
        <v>601</v>
      </c>
      <c r="H9" s="493">
        <f>'R.FILE GOC'!K43</f>
        <v>246.75</v>
      </c>
      <c r="I9" s="209" t="s">
        <v>678</v>
      </c>
      <c r="J9" s="532">
        <f>'R.FILE GOC'!N43</f>
        <v>0</v>
      </c>
      <c r="K9" s="492" t="s">
        <v>601</v>
      </c>
      <c r="L9" s="493">
        <f>'R.FILE GOC'!Q43</f>
        <v>246.75</v>
      </c>
      <c r="M9" s="209" t="s">
        <v>678</v>
      </c>
      <c r="N9" s="532">
        <f>'R.FILE GOC'!T43</f>
        <v>0</v>
      </c>
      <c r="O9" s="492" t="s">
        <v>601</v>
      </c>
      <c r="P9" s="493">
        <f>'R.FILE GOC'!W43</f>
        <v>246.75</v>
      </c>
      <c r="Q9" s="209" t="s">
        <v>678</v>
      </c>
      <c r="R9" s="540" t="s">
        <v>689</v>
      </c>
    </row>
    <row r="10" spans="1:18" s="536" customFormat="1" ht="29.25" customHeight="1">
      <c r="A10" s="529">
        <v>4</v>
      </c>
      <c r="B10" s="3695"/>
      <c r="C10" s="548"/>
      <c r="D10" s="3697"/>
      <c r="E10" s="486" t="s">
        <v>609</v>
      </c>
      <c r="F10" s="532">
        <f>'R.FILE GOC'!H44</f>
        <v>0</v>
      </c>
      <c r="G10" s="492" t="s">
        <v>601</v>
      </c>
      <c r="H10" s="493">
        <f>'R.FILE GOC'!K44</f>
        <v>32.077500000000001</v>
      </c>
      <c r="I10" s="209" t="s">
        <v>678</v>
      </c>
      <c r="J10" s="532">
        <f>'R.FILE GOC'!N44</f>
        <v>0</v>
      </c>
      <c r="K10" s="492" t="s">
        <v>601</v>
      </c>
      <c r="L10" s="493">
        <f>'R.FILE GOC'!Q44</f>
        <v>32.077500000000001</v>
      </c>
      <c r="M10" s="209" t="s">
        <v>678</v>
      </c>
      <c r="N10" s="532">
        <f>'R.FILE GOC'!T44</f>
        <v>0</v>
      </c>
      <c r="O10" s="492" t="s">
        <v>601</v>
      </c>
      <c r="P10" s="493">
        <f>'R.FILE GOC'!W44</f>
        <v>32.077500000000001</v>
      </c>
      <c r="Q10" s="209" t="s">
        <v>678</v>
      </c>
      <c r="R10" s="540" t="s">
        <v>690</v>
      </c>
    </row>
    <row r="11" spans="1:18" s="536" customFormat="1" ht="29.25" customHeight="1">
      <c r="A11" s="529">
        <v>5</v>
      </c>
      <c r="B11" s="3696"/>
      <c r="C11" s="549"/>
      <c r="D11" s="3697"/>
      <c r="E11" s="486" t="s">
        <v>611</v>
      </c>
      <c r="F11" s="64">
        <f>'R.FILE GOC'!H45</f>
        <v>0</v>
      </c>
      <c r="G11" s="492" t="s">
        <v>601</v>
      </c>
      <c r="H11" s="537">
        <f>'R.FILE GOC'!K45</f>
        <v>0</v>
      </c>
      <c r="I11" s="64" t="s">
        <v>678</v>
      </c>
      <c r="J11" s="64">
        <f>'R.FILE GOC'!N45</f>
        <v>0</v>
      </c>
      <c r="K11" s="492" t="s">
        <v>601</v>
      </c>
      <c r="L11" s="537">
        <f>'R.FILE GOC'!Q45</f>
        <v>0</v>
      </c>
      <c r="M11" s="64" t="s">
        <v>678</v>
      </c>
      <c r="N11" s="64">
        <f>'R.FILE GOC'!T45</f>
        <v>0</v>
      </c>
      <c r="O11" s="492" t="s">
        <v>601</v>
      </c>
      <c r="P11" s="537">
        <f>'R.FILE GOC'!W45</f>
        <v>0</v>
      </c>
      <c r="Q11" s="64" t="s">
        <v>678</v>
      </c>
      <c r="R11" s="540"/>
    </row>
    <row r="12" spans="1:18" s="536" customFormat="1" ht="29.25" hidden="1" customHeight="1">
      <c r="A12" s="529">
        <v>6</v>
      </c>
      <c r="B12" s="3694" t="s">
        <v>691</v>
      </c>
      <c r="C12" s="533"/>
      <c r="D12" s="3697" t="s">
        <v>429</v>
      </c>
      <c r="E12" s="486" t="s">
        <v>605</v>
      </c>
      <c r="F12" s="532" t="e">
        <f>'R.FILE GOC'!#REF!</f>
        <v>#REF!</v>
      </c>
      <c r="G12" s="492" t="s">
        <v>601</v>
      </c>
      <c r="H12" s="493" t="e">
        <f>'R.FILE GOC'!#REF!</f>
        <v>#REF!</v>
      </c>
      <c r="I12" s="209" t="s">
        <v>678</v>
      </c>
      <c r="J12" s="532" t="e">
        <f>'R.FILE GOC'!#REF!</f>
        <v>#REF!</v>
      </c>
      <c r="K12" s="492" t="s">
        <v>601</v>
      </c>
      <c r="L12" s="493" t="e">
        <f>'R.FILE GOC'!#REF!</f>
        <v>#REF!</v>
      </c>
      <c r="M12" s="209" t="s">
        <v>678</v>
      </c>
      <c r="N12" s="532" t="e">
        <f>'R.FILE GOC'!#REF!</f>
        <v>#REF!</v>
      </c>
      <c r="O12" s="492" t="s">
        <v>601</v>
      </c>
      <c r="P12" s="493" t="e">
        <f>'R.FILE GOC'!#REF!</f>
        <v>#REF!</v>
      </c>
      <c r="Q12" s="209" t="s">
        <v>678</v>
      </c>
      <c r="R12" s="540" t="s">
        <v>689</v>
      </c>
    </row>
    <row r="13" spans="1:18" s="536" customFormat="1" ht="29.25" hidden="1" customHeight="1">
      <c r="A13" s="529">
        <v>7</v>
      </c>
      <c r="B13" s="3695"/>
      <c r="C13" s="548"/>
      <c r="D13" s="3697"/>
      <c r="E13" s="486" t="s">
        <v>609</v>
      </c>
      <c r="F13" s="532" t="e">
        <f>'R.FILE GOC'!#REF!</f>
        <v>#REF!</v>
      </c>
      <c r="G13" s="492" t="s">
        <v>601</v>
      </c>
      <c r="H13" s="493" t="e">
        <f>'R.FILE GOC'!#REF!</f>
        <v>#REF!</v>
      </c>
      <c r="I13" s="209" t="s">
        <v>678</v>
      </c>
      <c r="J13" s="532" t="e">
        <f>'R.FILE GOC'!#REF!</f>
        <v>#REF!</v>
      </c>
      <c r="K13" s="492" t="s">
        <v>601</v>
      </c>
      <c r="L13" s="493" t="e">
        <f>'R.FILE GOC'!#REF!</f>
        <v>#REF!</v>
      </c>
      <c r="M13" s="209" t="s">
        <v>678</v>
      </c>
      <c r="N13" s="532" t="e">
        <f>'R.FILE GOC'!#REF!</f>
        <v>#REF!</v>
      </c>
      <c r="O13" s="492" t="s">
        <v>601</v>
      </c>
      <c r="P13" s="493" t="e">
        <f>'R.FILE GOC'!#REF!</f>
        <v>#REF!</v>
      </c>
      <c r="Q13" s="209" t="s">
        <v>678</v>
      </c>
      <c r="R13" s="540" t="s">
        <v>690</v>
      </c>
    </row>
    <row r="14" spans="1:18" s="536" customFormat="1" ht="29.25" hidden="1" customHeight="1">
      <c r="A14" s="529">
        <v>8</v>
      </c>
      <c r="B14" s="3696"/>
      <c r="C14" s="549"/>
      <c r="D14" s="3697"/>
      <c r="E14" s="486" t="s">
        <v>611</v>
      </c>
      <c r="F14" s="64" t="e">
        <f>'R.FILE GOC'!#REF!</f>
        <v>#REF!</v>
      </c>
      <c r="G14" s="492" t="s">
        <v>601</v>
      </c>
      <c r="H14" s="537" t="e">
        <f>'R.FILE GOC'!#REF!</f>
        <v>#REF!</v>
      </c>
      <c r="I14" s="64" t="s">
        <v>678</v>
      </c>
      <c r="J14" s="64" t="e">
        <f>'R.FILE GOC'!#REF!</f>
        <v>#REF!</v>
      </c>
      <c r="K14" s="492" t="s">
        <v>601</v>
      </c>
      <c r="L14" s="537" t="e">
        <f>'R.FILE GOC'!#REF!</f>
        <v>#REF!</v>
      </c>
      <c r="M14" s="64" t="s">
        <v>678</v>
      </c>
      <c r="N14" s="64" t="e">
        <f>'R.FILE GOC'!#REF!</f>
        <v>#REF!</v>
      </c>
      <c r="O14" s="492" t="s">
        <v>601</v>
      </c>
      <c r="P14" s="537" t="e">
        <f>'R.FILE GOC'!#REF!</f>
        <v>#REF!</v>
      </c>
      <c r="Q14" s="64" t="s">
        <v>678</v>
      </c>
      <c r="R14" s="540"/>
    </row>
    <row r="15" spans="1:18" s="541" customFormat="1" ht="29.25" customHeight="1">
      <c r="A15" s="529">
        <v>9</v>
      </c>
      <c r="B15" s="3694" t="s">
        <v>661</v>
      </c>
      <c r="C15" s="533"/>
      <c r="D15" s="531" t="s">
        <v>429</v>
      </c>
      <c r="E15" s="486" t="s">
        <v>439</v>
      </c>
      <c r="F15" s="532">
        <f>'R.FILE GOC'!H46</f>
        <v>0</v>
      </c>
      <c r="G15" s="547" t="s">
        <v>601</v>
      </c>
      <c r="H15" s="539">
        <f>'R.FILE GOC'!K46</f>
        <v>1.234</v>
      </c>
      <c r="I15" s="532" t="s">
        <v>678</v>
      </c>
      <c r="J15" s="532">
        <f>'R.FILE GOC'!N46</f>
        <v>0</v>
      </c>
      <c r="K15" s="547" t="s">
        <v>601</v>
      </c>
      <c r="L15" s="539">
        <f>'R.FILE GOC'!Q46</f>
        <v>1.234</v>
      </c>
      <c r="M15" s="532" t="s">
        <v>678</v>
      </c>
      <c r="N15" s="532">
        <f>'R.FILE GOC'!T46</f>
        <v>0</v>
      </c>
      <c r="O15" s="547" t="s">
        <v>601</v>
      </c>
      <c r="P15" s="539">
        <f>'R.FILE GOC'!W46</f>
        <v>1.234</v>
      </c>
      <c r="Q15" s="532" t="s">
        <v>678</v>
      </c>
      <c r="R15" s="540" t="s">
        <v>662</v>
      </c>
    </row>
    <row r="16" spans="1:18" s="541" customFormat="1" ht="29.25" customHeight="1">
      <c r="A16" s="529">
        <v>10</v>
      </c>
      <c r="B16" s="3696"/>
      <c r="C16" s="549"/>
      <c r="D16" s="542" t="s">
        <v>683</v>
      </c>
      <c r="E16" s="983" t="s">
        <v>964</v>
      </c>
      <c r="F16" s="532">
        <f>'R.FILE GOC'!H47</f>
        <v>0</v>
      </c>
      <c r="G16" s="492" t="s">
        <v>601</v>
      </c>
      <c r="H16" s="493"/>
      <c r="I16" s="209" t="s">
        <v>678</v>
      </c>
      <c r="J16" s="532">
        <f>'R.FILE GOC'!N47</f>
        <v>0</v>
      </c>
      <c r="K16" s="492" t="s">
        <v>601</v>
      </c>
      <c r="L16" s="493"/>
      <c r="M16" s="209" t="s">
        <v>678</v>
      </c>
      <c r="N16" s="532">
        <f>'R.FILE GOC'!T47</f>
        <v>0</v>
      </c>
      <c r="O16" s="492" t="s">
        <v>601</v>
      </c>
      <c r="P16" s="493"/>
      <c r="Q16" s="209" t="s">
        <v>678</v>
      </c>
      <c r="R16" s="209"/>
    </row>
    <row r="17" spans="1:18" s="536" customFormat="1" ht="29.25" customHeight="1">
      <c r="A17" s="3698" t="s">
        <v>664</v>
      </c>
      <c r="B17" s="3698"/>
      <c r="C17" s="3698"/>
      <c r="D17" s="3698"/>
      <c r="E17" s="3698"/>
      <c r="F17" s="3698"/>
      <c r="G17" s="3698"/>
      <c r="H17" s="3698"/>
      <c r="I17" s="3698"/>
      <c r="J17" s="3698"/>
      <c r="K17" s="3698"/>
      <c r="L17" s="3698"/>
      <c r="M17" s="3698"/>
      <c r="N17" s="3698"/>
      <c r="O17" s="3698"/>
      <c r="P17" s="3698"/>
      <c r="Q17" s="3698"/>
      <c r="R17" s="3698"/>
    </row>
    <row r="18" spans="1:18" s="536" customFormat="1" ht="29.25" customHeight="1">
      <c r="A18" s="209" t="s">
        <v>684</v>
      </c>
      <c r="B18" s="543" t="s">
        <v>666</v>
      </c>
      <c r="C18" s="543"/>
      <c r="D18" s="543" t="s">
        <v>667</v>
      </c>
      <c r="E18" s="543" t="s">
        <v>668</v>
      </c>
      <c r="F18" s="3687" t="s">
        <v>909</v>
      </c>
      <c r="G18" s="3687"/>
      <c r="H18" s="3687"/>
      <c r="I18" s="3687"/>
      <c r="J18" s="3687"/>
      <c r="K18" s="3687"/>
      <c r="L18" s="3687"/>
      <c r="M18" s="3687"/>
      <c r="N18" s="3687"/>
      <c r="O18" s="3687"/>
      <c r="P18" s="3687"/>
      <c r="Q18" s="3687"/>
      <c r="R18" s="1150"/>
    </row>
    <row r="19" spans="1:18" s="536" customFormat="1" ht="29.25" customHeight="1">
      <c r="A19" s="209">
        <v>1</v>
      </c>
      <c r="B19" s="835" t="s">
        <v>863</v>
      </c>
      <c r="C19" s="543"/>
      <c r="D19" s="544" t="s">
        <v>670</v>
      </c>
      <c r="E19" s="838" t="s">
        <v>671</v>
      </c>
      <c r="F19" s="3692">
        <f>'R.FILE GOC'!K50</f>
        <v>0</v>
      </c>
      <c r="G19" s="3692"/>
      <c r="H19" s="3692"/>
      <c r="I19" s="3692"/>
      <c r="J19" s="3692">
        <f>'R.FILE GOC'!Q50</f>
        <v>0</v>
      </c>
      <c r="K19" s="3692"/>
      <c r="L19" s="3692"/>
      <c r="M19" s="3692"/>
      <c r="N19" s="3692">
        <f>'R.FILE GOC'!W50</f>
        <v>0</v>
      </c>
      <c r="O19" s="3692"/>
      <c r="P19" s="3692"/>
      <c r="Q19" s="3692"/>
      <c r="R19" s="493"/>
    </row>
    <row r="20" spans="1:18" s="536" customFormat="1" ht="29.25" customHeight="1">
      <c r="A20" s="209">
        <v>2</v>
      </c>
      <c r="B20" s="835" t="s">
        <v>864</v>
      </c>
      <c r="C20" s="543"/>
      <c r="D20" s="544" t="s">
        <v>670</v>
      </c>
      <c r="E20" s="486" t="s">
        <v>673</v>
      </c>
      <c r="F20" s="3692">
        <f>'R.FILE GOC'!K51</f>
        <v>0</v>
      </c>
      <c r="G20" s="3692"/>
      <c r="H20" s="3692"/>
      <c r="I20" s="3692"/>
      <c r="J20" s="3692">
        <f>'R.FILE GOC'!Q51</f>
        <v>0</v>
      </c>
      <c r="K20" s="3692"/>
      <c r="L20" s="3692"/>
      <c r="M20" s="3692"/>
      <c r="N20" s="3692">
        <f>'R.FILE GOC'!W51</f>
        <v>0</v>
      </c>
      <c r="O20" s="3692"/>
      <c r="P20" s="3692"/>
      <c r="Q20" s="3692"/>
      <c r="R20" s="493"/>
    </row>
    <row r="21" spans="1:18" s="536" customFormat="1" ht="29.25" customHeight="1">
      <c r="A21" s="209">
        <v>3</v>
      </c>
      <c r="B21" s="543" t="s">
        <v>674</v>
      </c>
      <c r="C21" s="543"/>
      <c r="D21" s="544" t="s">
        <v>670</v>
      </c>
      <c r="E21" s="486" t="s">
        <v>675</v>
      </c>
      <c r="F21" s="3692">
        <f>'R.FILE GOC'!K52</f>
        <v>0</v>
      </c>
      <c r="G21" s="3692"/>
      <c r="H21" s="3692"/>
      <c r="I21" s="3692"/>
      <c r="J21" s="3692">
        <f>'R.FILE GOC'!Q52</f>
        <v>0</v>
      </c>
      <c r="K21" s="3692"/>
      <c r="L21" s="3692"/>
      <c r="M21" s="3692"/>
      <c r="N21" s="3692">
        <f>'R.FILE GOC'!W52</f>
        <v>0</v>
      </c>
      <c r="O21" s="3692"/>
      <c r="P21" s="3692"/>
      <c r="Q21" s="3692"/>
      <c r="R21" s="493"/>
    </row>
    <row r="22" spans="1:18" ht="27.75" customHeight="1">
      <c r="A22" s="3635" t="s">
        <v>585</v>
      </c>
      <c r="B22" s="3635"/>
      <c r="C22" s="3635"/>
      <c r="D22" s="3635"/>
      <c r="E22" s="3635"/>
      <c r="F22" s="3635"/>
      <c r="G22" s="3635"/>
      <c r="H22" s="3635"/>
      <c r="I22" s="3635"/>
      <c r="J22" s="3635"/>
      <c r="K22" s="3635"/>
      <c r="L22" s="3635"/>
      <c r="M22" s="3635"/>
      <c r="N22" s="471"/>
      <c r="O22" s="471"/>
      <c r="P22" s="471"/>
      <c r="Q22" s="471"/>
      <c r="R22" s="471"/>
    </row>
    <row r="23" spans="1:18" ht="36.75" customHeight="1">
      <c r="A23" s="3636" t="s">
        <v>858</v>
      </c>
      <c r="B23" s="3636"/>
      <c r="C23" s="3636"/>
      <c r="D23" s="3636"/>
      <c r="E23" s="3636"/>
      <c r="F23" s="3636"/>
      <c r="G23" s="3636"/>
      <c r="H23" s="3636"/>
      <c r="I23" s="3636"/>
      <c r="J23" s="3636"/>
      <c r="K23" s="3636"/>
      <c r="L23" s="3636"/>
      <c r="M23" s="3636"/>
      <c r="N23" s="474"/>
      <c r="O23" s="474"/>
      <c r="P23" s="474"/>
      <c r="Q23" s="474"/>
      <c r="R23" s="474"/>
    </row>
    <row r="24" spans="1:18" ht="27" customHeight="1">
      <c r="A24" s="475"/>
      <c r="B24" s="476" t="s">
        <v>676</v>
      </c>
      <c r="C24" s="476"/>
      <c r="D24" s="477"/>
      <c r="E24" s="477"/>
      <c r="F24" s="477"/>
      <c r="G24" s="477"/>
      <c r="H24" s="477"/>
      <c r="I24" s="477"/>
      <c r="J24" s="3691"/>
      <c r="K24" s="3691"/>
      <c r="L24" s="3691"/>
      <c r="M24" s="525"/>
      <c r="N24" s="3691"/>
      <c r="O24" s="3691"/>
      <c r="P24" s="3691"/>
      <c r="Q24" s="525"/>
      <c r="R24" s="525"/>
    </row>
    <row r="25" spans="1:18" s="527" customFormat="1" ht="42" customHeight="1">
      <c r="A25" s="3684" t="s">
        <v>677</v>
      </c>
      <c r="B25" s="3687" t="s">
        <v>641</v>
      </c>
      <c r="C25" s="543"/>
      <c r="D25" s="3687" t="s">
        <v>642</v>
      </c>
      <c r="E25" s="3689" t="s">
        <v>643</v>
      </c>
      <c r="F25" s="3661" t="s">
        <v>913</v>
      </c>
      <c r="G25" s="3662"/>
      <c r="H25" s="3662"/>
      <c r="I25" s="3662"/>
      <c r="J25" s="3662"/>
      <c r="K25" s="3662"/>
      <c r="L25" s="3662"/>
      <c r="M25" s="3662"/>
      <c r="N25" s="3662"/>
      <c r="O25" s="3662"/>
      <c r="P25" s="3662"/>
      <c r="Q25" s="3663"/>
      <c r="R25" s="3216" t="s">
        <v>644</v>
      </c>
    </row>
    <row r="26" spans="1:18" s="527" customFormat="1" ht="21" customHeight="1">
      <c r="A26" s="3685"/>
      <c r="B26" s="3687"/>
      <c r="C26" s="543"/>
      <c r="D26" s="3687"/>
      <c r="E26" s="3689"/>
      <c r="F26" s="3646">
        <v>0.875</v>
      </c>
      <c r="G26" s="3647"/>
      <c r="H26" s="3647"/>
      <c r="I26" s="3647"/>
      <c r="J26" s="3648">
        <v>8.3333333333333329E-2</v>
      </c>
      <c r="K26" s="3649"/>
      <c r="L26" s="3649"/>
      <c r="M26" s="3650"/>
      <c r="N26" s="3648">
        <v>0.16666666666666666</v>
      </c>
      <c r="O26" s="3649"/>
      <c r="P26" s="3649"/>
      <c r="Q26" s="3650"/>
      <c r="R26" s="3217"/>
    </row>
    <row r="27" spans="1:18" s="527" customFormat="1" ht="40.5" customHeight="1">
      <c r="A27" s="3686"/>
      <c r="B27" s="3688"/>
      <c r="C27" s="209"/>
      <c r="D27" s="3688"/>
      <c r="E27" s="3690"/>
      <c r="F27" s="528" t="s">
        <v>645</v>
      </c>
      <c r="G27" s="3507" t="s">
        <v>646</v>
      </c>
      <c r="H27" s="3512"/>
      <c r="I27" s="3693"/>
      <c r="J27" s="528" t="s">
        <v>645</v>
      </c>
      <c r="K27" s="3507" t="s">
        <v>646</v>
      </c>
      <c r="L27" s="3512"/>
      <c r="M27" s="3693"/>
      <c r="N27" s="528" t="s">
        <v>645</v>
      </c>
      <c r="O27" s="3507" t="s">
        <v>646</v>
      </c>
      <c r="P27" s="3512"/>
      <c r="Q27" s="3693"/>
      <c r="R27" s="551" t="s">
        <v>686</v>
      </c>
    </row>
    <row r="28" spans="1:18" s="536" customFormat="1" ht="30" customHeight="1">
      <c r="A28" s="529">
        <v>1</v>
      </c>
      <c r="B28" s="530" t="s">
        <v>856</v>
      </c>
      <c r="C28" s="834" t="s">
        <v>649</v>
      </c>
      <c r="D28" s="834" t="s">
        <v>649</v>
      </c>
      <c r="E28" s="838" t="s">
        <v>448</v>
      </c>
      <c r="F28" s="487">
        <f>'R.FILE GOC'!Z41</f>
        <v>0</v>
      </c>
      <c r="G28" s="488" t="s">
        <v>860</v>
      </c>
      <c r="H28" s="489">
        <f>'R.FILE GOC'!AC41</f>
        <v>93.2</v>
      </c>
      <c r="I28" s="832" t="s">
        <v>861</v>
      </c>
      <c r="J28" s="487">
        <f>'R.FILE GOC'!AF41</f>
        <v>0</v>
      </c>
      <c r="K28" s="488" t="s">
        <v>860</v>
      </c>
      <c r="L28" s="489">
        <f>'R.FILE GOC'!AI41</f>
        <v>93.2</v>
      </c>
      <c r="M28" s="832" t="s">
        <v>861</v>
      </c>
      <c r="N28" s="487">
        <f>'R.FILE GOC'!AL41</f>
        <v>0</v>
      </c>
      <c r="O28" s="488" t="s">
        <v>860</v>
      </c>
      <c r="P28" s="489">
        <f>'R.FILE GOC'!AO41</f>
        <v>93.2</v>
      </c>
      <c r="Q28" s="836" t="s">
        <v>651</v>
      </c>
      <c r="R28" s="551" t="s">
        <v>692</v>
      </c>
    </row>
    <row r="29" spans="1:18" s="536" customFormat="1" ht="23.25" customHeight="1">
      <c r="A29" s="529">
        <v>2</v>
      </c>
      <c r="B29" s="833" t="s">
        <v>653</v>
      </c>
      <c r="C29" s="534" t="s">
        <v>654</v>
      </c>
      <c r="D29" s="534" t="s">
        <v>654</v>
      </c>
      <c r="E29" s="837" t="s">
        <v>424</v>
      </c>
      <c r="F29" s="839">
        <f>'R.FILE GOC'!Z42</f>
        <v>0</v>
      </c>
      <c r="G29" s="488" t="s">
        <v>860</v>
      </c>
      <c r="H29" s="489">
        <f>'R.FILE GOC'!AC42</f>
        <v>1017.578125</v>
      </c>
      <c r="I29" s="832" t="s">
        <v>862</v>
      </c>
      <c r="J29" s="839">
        <f>'R.FILE GOC'!AF42</f>
        <v>0</v>
      </c>
      <c r="K29" s="488" t="s">
        <v>860</v>
      </c>
      <c r="L29" s="489">
        <f>'R.FILE GOC'!AI42</f>
        <v>1017.578125</v>
      </c>
      <c r="M29" s="832" t="s">
        <v>862</v>
      </c>
      <c r="N29" s="839">
        <f>'R.FILE GOC'!AL42</f>
        <v>0</v>
      </c>
      <c r="O29" s="488" t="s">
        <v>860</v>
      </c>
      <c r="P29" s="489">
        <f>'R.FILE GOC'!AO42</f>
        <v>1017.578125</v>
      </c>
      <c r="Q29" s="209" t="s">
        <v>680</v>
      </c>
      <c r="R29" s="551"/>
    </row>
    <row r="30" spans="1:18" s="536" customFormat="1" ht="30" customHeight="1">
      <c r="A30" s="529">
        <v>3</v>
      </c>
      <c r="B30" s="3694" t="s">
        <v>688</v>
      </c>
      <c r="C30" s="533"/>
      <c r="D30" s="3697" t="s">
        <v>429</v>
      </c>
      <c r="E30" s="486" t="s">
        <v>605</v>
      </c>
      <c r="F30" s="532">
        <f>'R.FILE GOC'!Z43</f>
        <v>0</v>
      </c>
      <c r="G30" s="492" t="s">
        <v>601</v>
      </c>
      <c r="H30" s="493">
        <f>'R.FILE GOC'!AC43</f>
        <v>246.75</v>
      </c>
      <c r="I30" s="209" t="s">
        <v>678</v>
      </c>
      <c r="J30" s="532">
        <f>'R.FILE GOC'!AF43</f>
        <v>0</v>
      </c>
      <c r="K30" s="492" t="s">
        <v>601</v>
      </c>
      <c r="L30" s="493">
        <f>'R.FILE GOC'!AI43</f>
        <v>246.75</v>
      </c>
      <c r="M30" s="209" t="s">
        <v>678</v>
      </c>
      <c r="N30" s="532">
        <f>'R.FILE GOC'!AL43</f>
        <v>0</v>
      </c>
      <c r="O30" s="492" t="s">
        <v>601</v>
      </c>
      <c r="P30" s="493">
        <f>'R.FILE GOC'!AO43</f>
        <v>246.75</v>
      </c>
      <c r="Q30" s="209" t="s">
        <v>678</v>
      </c>
      <c r="R30" s="551" t="s">
        <v>690</v>
      </c>
    </row>
    <row r="31" spans="1:18" s="536" customFormat="1" ht="30" customHeight="1">
      <c r="A31" s="529">
        <v>4</v>
      </c>
      <c r="B31" s="3695"/>
      <c r="C31" s="548"/>
      <c r="D31" s="3697"/>
      <c r="E31" s="486" t="s">
        <v>609</v>
      </c>
      <c r="F31" s="532">
        <f>'R.FILE GOC'!Z44</f>
        <v>0</v>
      </c>
      <c r="G31" s="492" t="s">
        <v>601</v>
      </c>
      <c r="H31" s="493">
        <f>'R.FILE GOC'!AC44</f>
        <v>32.077500000000001</v>
      </c>
      <c r="I31" s="209" t="s">
        <v>678</v>
      </c>
      <c r="J31" s="532">
        <f>'R.FILE GOC'!AF44</f>
        <v>0</v>
      </c>
      <c r="K31" s="492" t="s">
        <v>601</v>
      </c>
      <c r="L31" s="493">
        <f>'R.FILE GOC'!AI44</f>
        <v>32.077500000000001</v>
      </c>
      <c r="M31" s="209" t="s">
        <v>678</v>
      </c>
      <c r="N31" s="532">
        <f>'R.FILE GOC'!AL44</f>
        <v>0</v>
      </c>
      <c r="O31" s="492" t="s">
        <v>601</v>
      </c>
      <c r="P31" s="493">
        <f>'R.FILE GOC'!AO44</f>
        <v>32.077500000000001</v>
      </c>
      <c r="Q31" s="209" t="s">
        <v>678</v>
      </c>
      <c r="R31" s="552"/>
    </row>
    <row r="32" spans="1:18" s="536" customFormat="1" ht="30" customHeight="1">
      <c r="A32" s="529">
        <v>5</v>
      </c>
      <c r="B32" s="3696"/>
      <c r="C32" s="549"/>
      <c r="D32" s="3697"/>
      <c r="E32" s="486" t="s">
        <v>611</v>
      </c>
      <c r="F32" s="64">
        <f>'R.FILE GOC'!Z45</f>
        <v>0</v>
      </c>
      <c r="G32" s="492" t="s">
        <v>601</v>
      </c>
      <c r="H32" s="537">
        <f>'R.FILE GOC'!AC45</f>
        <v>0</v>
      </c>
      <c r="I32" s="64" t="s">
        <v>678</v>
      </c>
      <c r="J32" s="64">
        <f>'R.FILE GOC'!AF45</f>
        <v>0</v>
      </c>
      <c r="K32" s="492" t="s">
        <v>601</v>
      </c>
      <c r="L32" s="537">
        <f>'R.FILE GOC'!AI45</f>
        <v>0</v>
      </c>
      <c r="M32" s="64" t="s">
        <v>678</v>
      </c>
      <c r="N32" s="64">
        <f>'R.FILE GOC'!AL45</f>
        <v>0</v>
      </c>
      <c r="O32" s="492" t="s">
        <v>601</v>
      </c>
      <c r="P32" s="537">
        <f>'R.FILE GOC'!AO45</f>
        <v>0</v>
      </c>
      <c r="Q32" s="64" t="s">
        <v>678</v>
      </c>
      <c r="R32" s="551" t="s">
        <v>689</v>
      </c>
    </row>
    <row r="33" spans="1:18" s="536" customFormat="1" ht="30" hidden="1" customHeight="1">
      <c r="A33" s="529">
        <v>6</v>
      </c>
      <c r="B33" s="3694" t="s">
        <v>691</v>
      </c>
      <c r="C33" s="533"/>
      <c r="D33" s="3697" t="s">
        <v>429</v>
      </c>
      <c r="E33" s="486" t="s">
        <v>605</v>
      </c>
      <c r="F33" s="532" t="e">
        <f>'R.FILE GOC'!#REF!</f>
        <v>#REF!</v>
      </c>
      <c r="G33" s="492" t="s">
        <v>601</v>
      </c>
      <c r="H33" s="493" t="e">
        <f>'R.FILE GOC'!#REF!</f>
        <v>#REF!</v>
      </c>
      <c r="I33" s="209" t="s">
        <v>678</v>
      </c>
      <c r="J33" s="532" t="e">
        <f>'R.FILE GOC'!#REF!</f>
        <v>#REF!</v>
      </c>
      <c r="K33" s="492" t="s">
        <v>601</v>
      </c>
      <c r="L33" s="493" t="e">
        <f>'R.FILE GOC'!#REF!</f>
        <v>#REF!</v>
      </c>
      <c r="M33" s="209" t="s">
        <v>678</v>
      </c>
      <c r="N33" s="532" t="e">
        <f>'R.FILE GOC'!#REF!</f>
        <v>#REF!</v>
      </c>
      <c r="O33" s="492" t="s">
        <v>601</v>
      </c>
      <c r="P33" s="493" t="e">
        <f>'R.FILE GOC'!#REF!</f>
        <v>#REF!</v>
      </c>
      <c r="Q33" s="209" t="s">
        <v>678</v>
      </c>
      <c r="R33" s="551" t="s">
        <v>690</v>
      </c>
    </row>
    <row r="34" spans="1:18" s="536" customFormat="1" ht="30" hidden="1" customHeight="1">
      <c r="A34" s="529">
        <v>7</v>
      </c>
      <c r="B34" s="3695"/>
      <c r="C34" s="548"/>
      <c r="D34" s="3697"/>
      <c r="E34" s="486" t="s">
        <v>609</v>
      </c>
      <c r="F34" s="532" t="e">
        <f>'R.FILE GOC'!#REF!</f>
        <v>#REF!</v>
      </c>
      <c r="G34" s="492" t="s">
        <v>601</v>
      </c>
      <c r="H34" s="493" t="e">
        <f>'R.FILE GOC'!#REF!</f>
        <v>#REF!</v>
      </c>
      <c r="I34" s="209" t="s">
        <v>678</v>
      </c>
      <c r="J34" s="532" t="e">
        <f>'R.FILE GOC'!#REF!</f>
        <v>#REF!</v>
      </c>
      <c r="K34" s="492" t="s">
        <v>601</v>
      </c>
      <c r="L34" s="493" t="e">
        <f>'R.FILE GOC'!#REF!</f>
        <v>#REF!</v>
      </c>
      <c r="M34" s="209" t="s">
        <v>678</v>
      </c>
      <c r="N34" s="532" t="e">
        <f>'R.FILE GOC'!#REF!</f>
        <v>#REF!</v>
      </c>
      <c r="O34" s="492" t="s">
        <v>601</v>
      </c>
      <c r="P34" s="493" t="e">
        <f>'R.FILE GOC'!#REF!</f>
        <v>#REF!</v>
      </c>
      <c r="Q34" s="209" t="s">
        <v>678</v>
      </c>
      <c r="R34" s="551"/>
    </row>
    <row r="35" spans="1:18" s="536" customFormat="1" ht="30" hidden="1" customHeight="1">
      <c r="A35" s="529">
        <v>8</v>
      </c>
      <c r="B35" s="3696"/>
      <c r="C35" s="549"/>
      <c r="D35" s="3697"/>
      <c r="E35" s="486" t="s">
        <v>611</v>
      </c>
      <c r="F35" s="64" t="e">
        <f>'R.FILE GOC'!#REF!</f>
        <v>#REF!</v>
      </c>
      <c r="G35" s="492" t="s">
        <v>601</v>
      </c>
      <c r="H35" s="537" t="e">
        <f>'R.FILE GOC'!#REF!</f>
        <v>#REF!</v>
      </c>
      <c r="I35" s="64" t="s">
        <v>678</v>
      </c>
      <c r="J35" s="64" t="e">
        <f>'R.FILE GOC'!#REF!</f>
        <v>#REF!</v>
      </c>
      <c r="K35" s="492" t="s">
        <v>601</v>
      </c>
      <c r="L35" s="537" t="e">
        <f>'R.FILE GOC'!#REF!</f>
        <v>#REF!</v>
      </c>
      <c r="M35" s="64" t="s">
        <v>678</v>
      </c>
      <c r="N35" s="64" t="e">
        <f>'R.FILE GOC'!#REF!</f>
        <v>#REF!</v>
      </c>
      <c r="O35" s="492" t="s">
        <v>601</v>
      </c>
      <c r="P35" s="537" t="e">
        <f>'R.FILE GOC'!#REF!</f>
        <v>#REF!</v>
      </c>
      <c r="Q35" s="64" t="s">
        <v>678</v>
      </c>
      <c r="R35" s="551" t="s">
        <v>689</v>
      </c>
    </row>
    <row r="36" spans="1:18" s="541" customFormat="1" ht="30" customHeight="1">
      <c r="A36" s="529">
        <v>9</v>
      </c>
      <c r="B36" s="3694" t="s">
        <v>661</v>
      </c>
      <c r="C36" s="533"/>
      <c r="D36" s="531" t="s">
        <v>429</v>
      </c>
      <c r="E36" s="486" t="s">
        <v>439</v>
      </c>
      <c r="F36" s="532">
        <f>'R.FILE GOC'!Z46</f>
        <v>0</v>
      </c>
      <c r="G36" s="547" t="s">
        <v>601</v>
      </c>
      <c r="H36" s="539">
        <f>'R.FILE GOC'!AC46</f>
        <v>1.234</v>
      </c>
      <c r="I36" s="532" t="s">
        <v>678</v>
      </c>
      <c r="J36" s="532">
        <f>'R.FILE GOC'!AF46</f>
        <v>0</v>
      </c>
      <c r="K36" s="547" t="s">
        <v>601</v>
      </c>
      <c r="L36" s="539">
        <f>'R.FILE GOC'!AI46</f>
        <v>1.234</v>
      </c>
      <c r="M36" s="532" t="s">
        <v>678</v>
      </c>
      <c r="N36" s="532">
        <f>'R.FILE GOC'!AL46</f>
        <v>0</v>
      </c>
      <c r="O36" s="547" t="s">
        <v>601</v>
      </c>
      <c r="P36" s="539">
        <f>'R.FILE GOC'!AO46</f>
        <v>1.234</v>
      </c>
      <c r="Q36" s="532" t="s">
        <v>678</v>
      </c>
      <c r="R36" s="540" t="s">
        <v>662</v>
      </c>
    </row>
    <row r="37" spans="1:18" s="541" customFormat="1" ht="30" customHeight="1">
      <c r="A37" s="529">
        <v>10</v>
      </c>
      <c r="B37" s="3696"/>
      <c r="C37" s="549"/>
      <c r="D37" s="542" t="s">
        <v>683</v>
      </c>
      <c r="E37" s="983" t="s">
        <v>964</v>
      </c>
      <c r="F37" s="532">
        <f>'R.FILE GOC'!Z47</f>
        <v>0</v>
      </c>
      <c r="G37" s="492" t="s">
        <v>601</v>
      </c>
      <c r="H37" s="493"/>
      <c r="I37" s="209" t="s">
        <v>678</v>
      </c>
      <c r="J37" s="532">
        <f>'R.FILE GOC'!AF47</f>
        <v>0</v>
      </c>
      <c r="K37" s="492" t="s">
        <v>601</v>
      </c>
      <c r="L37" s="493"/>
      <c r="M37" s="209" t="s">
        <v>678</v>
      </c>
      <c r="N37" s="532">
        <f>'R.FILE GOC'!AL47</f>
        <v>0</v>
      </c>
      <c r="O37" s="492" t="s">
        <v>601</v>
      </c>
      <c r="P37" s="493"/>
      <c r="Q37" s="209" t="s">
        <v>678</v>
      </c>
      <c r="R37" s="209"/>
    </row>
    <row r="38" spans="1:18" s="536" customFormat="1" ht="30" customHeight="1">
      <c r="A38" s="3698" t="s">
        <v>664</v>
      </c>
      <c r="B38" s="3698"/>
      <c r="C38" s="3698"/>
      <c r="D38" s="3698"/>
      <c r="E38" s="3698"/>
      <c r="F38" s="3698"/>
      <c r="G38" s="3698"/>
      <c r="H38" s="3698"/>
      <c r="I38" s="3698"/>
      <c r="J38" s="3698"/>
      <c r="K38" s="3698"/>
      <c r="L38" s="3698"/>
      <c r="M38" s="3698"/>
      <c r="N38" s="3698"/>
      <c r="O38" s="3698"/>
      <c r="P38" s="3698"/>
      <c r="Q38" s="3698"/>
      <c r="R38" s="3698"/>
    </row>
    <row r="39" spans="1:18" s="536" customFormat="1" ht="30" customHeight="1">
      <c r="A39" s="209" t="s">
        <v>684</v>
      </c>
      <c r="B39" s="543" t="s">
        <v>666</v>
      </c>
      <c r="C39" s="543"/>
      <c r="D39" s="543" t="s">
        <v>667</v>
      </c>
      <c r="E39" s="543" t="s">
        <v>668</v>
      </c>
      <c r="F39" s="3687" t="s">
        <v>909</v>
      </c>
      <c r="G39" s="3687"/>
      <c r="H39" s="3687"/>
      <c r="I39" s="3687"/>
      <c r="J39" s="3687"/>
      <c r="K39" s="3687"/>
      <c r="L39" s="3687"/>
      <c r="M39" s="3687"/>
      <c r="N39" s="3687"/>
      <c r="O39" s="3687"/>
      <c r="P39" s="3687"/>
      <c r="Q39" s="3687"/>
      <c r="R39" s="1150"/>
    </row>
    <row r="40" spans="1:18" s="536" customFormat="1" ht="30" customHeight="1">
      <c r="A40" s="209">
        <v>1</v>
      </c>
      <c r="B40" s="835" t="s">
        <v>863</v>
      </c>
      <c r="C40" s="543"/>
      <c r="D40" s="544" t="s">
        <v>670</v>
      </c>
      <c r="E40" s="838" t="s">
        <v>671</v>
      </c>
      <c r="F40" s="3692">
        <f>'R.FILE GOC'!AC50</f>
        <v>0</v>
      </c>
      <c r="G40" s="3692"/>
      <c r="H40" s="3692"/>
      <c r="I40" s="3692"/>
      <c r="J40" s="3692">
        <f>'R.FILE GOC'!AI50</f>
        <v>0</v>
      </c>
      <c r="K40" s="3692"/>
      <c r="L40" s="3692"/>
      <c r="M40" s="3692"/>
      <c r="N40" s="3692">
        <f>'R.FILE GOC'!AO50</f>
        <v>0</v>
      </c>
      <c r="O40" s="3692"/>
      <c r="P40" s="3692"/>
      <c r="Q40" s="3692"/>
      <c r="R40" s="270"/>
    </row>
    <row r="41" spans="1:18" s="536" customFormat="1" ht="30" customHeight="1">
      <c r="A41" s="209">
        <v>2</v>
      </c>
      <c r="B41" s="835" t="s">
        <v>864</v>
      </c>
      <c r="C41" s="543"/>
      <c r="D41" s="544" t="s">
        <v>670</v>
      </c>
      <c r="E41" s="486" t="s">
        <v>673</v>
      </c>
      <c r="F41" s="3674">
        <f>'R.FILE GOC'!AC51</f>
        <v>0</v>
      </c>
      <c r="G41" s="3675"/>
      <c r="H41" s="3675"/>
      <c r="I41" s="3675"/>
      <c r="J41" s="3674">
        <f>'R.FILE GOC'!AI51</f>
        <v>0</v>
      </c>
      <c r="K41" s="3675"/>
      <c r="L41" s="3675"/>
      <c r="M41" s="3675"/>
      <c r="N41" s="3674">
        <f>'R.FILE GOC'!AO51</f>
        <v>0</v>
      </c>
      <c r="O41" s="3675"/>
      <c r="P41" s="3675"/>
      <c r="Q41" s="3675"/>
      <c r="R41" s="64"/>
    </row>
    <row r="42" spans="1:18" s="536" customFormat="1" ht="30" customHeight="1">
      <c r="A42" s="209">
        <v>3</v>
      </c>
      <c r="B42" s="543" t="s">
        <v>674</v>
      </c>
      <c r="C42" s="543"/>
      <c r="D42" s="544" t="s">
        <v>670</v>
      </c>
      <c r="E42" s="486" t="s">
        <v>675</v>
      </c>
      <c r="F42" s="3674">
        <f>'R.FILE GOC'!AC52</f>
        <v>0</v>
      </c>
      <c r="G42" s="3675"/>
      <c r="H42" s="3675"/>
      <c r="I42" s="3675"/>
      <c r="J42" s="3674">
        <f>'R.FILE GOC'!AI52</f>
        <v>0</v>
      </c>
      <c r="K42" s="3675"/>
      <c r="L42" s="3675"/>
      <c r="M42" s="3675"/>
      <c r="N42" s="3674">
        <f>'R.FILE GOC'!AO52</f>
        <v>0</v>
      </c>
      <c r="O42" s="3675"/>
      <c r="P42" s="3675"/>
      <c r="Q42" s="3675"/>
      <c r="R42" s="270"/>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7" type="noConversion"/>
  <conditionalFormatting sqref="F20:Q20 F41:I41">
    <cfRule type="expression" dxfId="1253" priority="65">
      <formula>F20&lt;65</formula>
    </cfRule>
    <cfRule type="expression" dxfId="1252" priority="66">
      <formula>F20&gt;85</formula>
    </cfRule>
  </conditionalFormatting>
  <conditionalFormatting sqref="F42:I42 F21:Q21">
    <cfRule type="expression" dxfId="1251" priority="63">
      <formula>F21&lt;80</formula>
    </cfRule>
    <cfRule type="expression" dxfId="1250" priority="64">
      <formula>F21&gt;90</formula>
    </cfRule>
  </conditionalFormatting>
  <conditionalFormatting sqref="J41:Q41">
    <cfRule type="expression" dxfId="1249" priority="61">
      <formula>J41&lt;65</formula>
    </cfRule>
    <cfRule type="expression" dxfId="1248" priority="62">
      <formula>J41&gt;85</formula>
    </cfRule>
  </conditionalFormatting>
  <conditionalFormatting sqref="J42:Q42">
    <cfRule type="expression" dxfId="1247" priority="59">
      <formula>J42&lt;80</formula>
    </cfRule>
    <cfRule type="expression" dxfId="1246" priority="60">
      <formula>J42&gt;90</formula>
    </cfRule>
  </conditionalFormatting>
  <conditionalFormatting sqref="F8 J8">
    <cfRule type="expression" dxfId="1245" priority="57">
      <formula>F8&lt;10</formula>
    </cfRule>
    <cfRule type="expression" dxfId="1244" priority="58">
      <formula>F8&gt;15</formula>
    </cfRule>
  </conditionalFormatting>
  <conditionalFormatting sqref="N8">
    <cfRule type="expression" dxfId="1243" priority="55">
      <formula>N8&lt;10</formula>
    </cfRule>
    <cfRule type="expression" dxfId="1242" priority="56">
      <formula>N8&gt;15</formula>
    </cfRule>
  </conditionalFormatting>
  <conditionalFormatting sqref="J8">
    <cfRule type="expression" dxfId="1241" priority="53">
      <formula>J8&lt;10</formula>
    </cfRule>
    <cfRule type="expression" dxfId="1240" priority="54">
      <formula>J8&gt;15</formula>
    </cfRule>
  </conditionalFormatting>
  <conditionalFormatting sqref="N8">
    <cfRule type="expression" dxfId="1239" priority="51">
      <formula>N8&lt;10</formula>
    </cfRule>
    <cfRule type="expression" dxfId="1238" priority="52">
      <formula>N8&gt;15</formula>
    </cfRule>
  </conditionalFormatting>
  <conditionalFormatting sqref="F8">
    <cfRule type="expression" dxfId="1237" priority="49">
      <formula>F8&lt;10</formula>
    </cfRule>
    <cfRule type="expression" dxfId="1236" priority="50">
      <formula>F8&gt;15</formula>
    </cfRule>
  </conditionalFormatting>
  <conditionalFormatting sqref="F8 J8">
    <cfRule type="expression" dxfId="1235" priority="47">
      <formula>F8&lt;10</formula>
    </cfRule>
    <cfRule type="expression" dxfId="1234" priority="48">
      <formula>F8&gt;15</formula>
    </cfRule>
  </conditionalFormatting>
  <conditionalFormatting sqref="N8">
    <cfRule type="expression" dxfId="1233" priority="45">
      <formula>N8&lt;10</formula>
    </cfRule>
    <cfRule type="expression" dxfId="1232" priority="46">
      <formula>N8&gt;15</formula>
    </cfRule>
  </conditionalFormatting>
  <conditionalFormatting sqref="F8">
    <cfRule type="expression" dxfId="1231" priority="43">
      <formula>F8&lt;10</formula>
    </cfRule>
    <cfRule type="expression" dxfId="1230" priority="44">
      <formula>F8&gt;15</formula>
    </cfRule>
  </conditionalFormatting>
  <conditionalFormatting sqref="F8">
    <cfRule type="expression" dxfId="1229" priority="42">
      <formula>F8&lt;1</formula>
    </cfRule>
  </conditionalFormatting>
  <conditionalFormatting sqref="J8">
    <cfRule type="expression" dxfId="1228" priority="40">
      <formula>J8&lt;10</formula>
    </cfRule>
    <cfRule type="expression" dxfId="1227" priority="41">
      <formula>J8&gt;15</formula>
    </cfRule>
  </conditionalFormatting>
  <conditionalFormatting sqref="J8">
    <cfRule type="expression" dxfId="1226" priority="39">
      <formula>J8&lt;1</formula>
    </cfRule>
  </conditionalFormatting>
  <conditionalFormatting sqref="N8">
    <cfRule type="expression" dxfId="1225" priority="37">
      <formula>N8&lt;10</formula>
    </cfRule>
    <cfRule type="expression" dxfId="1224" priority="38">
      <formula>N8&gt;15</formula>
    </cfRule>
  </conditionalFormatting>
  <conditionalFormatting sqref="N8">
    <cfRule type="expression" dxfId="1223" priority="35">
      <formula>N8&lt;10</formula>
    </cfRule>
    <cfRule type="expression" dxfId="1222" priority="36">
      <formula>N8&gt;15</formula>
    </cfRule>
  </conditionalFormatting>
  <conditionalFormatting sqref="N8">
    <cfRule type="expression" dxfId="1221" priority="34">
      <formula>N8&lt;1</formula>
    </cfRule>
  </conditionalFormatting>
  <conditionalFormatting sqref="F29 J29">
    <cfRule type="expression" dxfId="1220" priority="32">
      <formula>F29&lt;10</formula>
    </cfRule>
    <cfRule type="expression" dxfId="1219" priority="33">
      <formula>F29&gt;15</formula>
    </cfRule>
  </conditionalFormatting>
  <conditionalFormatting sqref="N29">
    <cfRule type="expression" dxfId="1218" priority="30">
      <formula>N29&lt;10</formula>
    </cfRule>
    <cfRule type="expression" dxfId="1217" priority="31">
      <formula>N29&gt;15</formula>
    </cfRule>
  </conditionalFormatting>
  <conditionalFormatting sqref="J29">
    <cfRule type="expression" dxfId="1216" priority="28">
      <formula>J29&lt;10</formula>
    </cfRule>
    <cfRule type="expression" dxfId="1215" priority="29">
      <formula>J29&gt;15</formula>
    </cfRule>
  </conditionalFormatting>
  <conditionalFormatting sqref="N29">
    <cfRule type="expression" dxfId="1214" priority="26">
      <formula>N29&lt;10</formula>
    </cfRule>
    <cfRule type="expression" dxfId="1213" priority="27">
      <formula>N29&gt;15</formula>
    </cfRule>
  </conditionalFormatting>
  <conditionalFormatting sqref="F29">
    <cfRule type="expression" dxfId="1212" priority="24">
      <formula>F29&lt;10</formula>
    </cfRule>
    <cfRule type="expression" dxfId="1211" priority="25">
      <formula>F29&gt;15</formula>
    </cfRule>
  </conditionalFormatting>
  <conditionalFormatting sqref="F29 J29">
    <cfRule type="expression" dxfId="1210" priority="22">
      <formula>F29&lt;10</formula>
    </cfRule>
    <cfRule type="expression" dxfId="1209" priority="23">
      <formula>F29&gt;15</formula>
    </cfRule>
  </conditionalFormatting>
  <conditionalFormatting sqref="N29">
    <cfRule type="expression" dxfId="1208" priority="20">
      <formula>N29&lt;10</formula>
    </cfRule>
    <cfRule type="expression" dxfId="1207" priority="21">
      <formula>N29&gt;15</formula>
    </cfRule>
  </conditionalFormatting>
  <conditionalFormatting sqref="F29">
    <cfRule type="expression" dxfId="1206" priority="18">
      <formula>F29&lt;10</formula>
    </cfRule>
    <cfRule type="expression" dxfId="1205" priority="19">
      <formula>F29&gt;15</formula>
    </cfRule>
  </conditionalFormatting>
  <conditionalFormatting sqref="F29">
    <cfRule type="expression" dxfId="1204" priority="17">
      <formula>F29&lt;1</formula>
    </cfRule>
  </conditionalFormatting>
  <conditionalFormatting sqref="J29">
    <cfRule type="expression" dxfId="1203" priority="15">
      <formula>J29&lt;10</formula>
    </cfRule>
    <cfRule type="expression" dxfId="1202" priority="16">
      <formula>J29&gt;15</formula>
    </cfRule>
  </conditionalFormatting>
  <conditionalFormatting sqref="J29">
    <cfRule type="expression" dxfId="1201" priority="14">
      <formula>J29&lt;1</formula>
    </cfRule>
  </conditionalFormatting>
  <conditionalFormatting sqref="N29">
    <cfRule type="expression" dxfId="1200" priority="12">
      <formula>N29&lt;10</formula>
    </cfRule>
    <cfRule type="expression" dxfId="1199" priority="13">
      <formula>N29&gt;15</formula>
    </cfRule>
  </conditionalFormatting>
  <conditionalFormatting sqref="N29">
    <cfRule type="expression" dxfId="1198" priority="10">
      <formula>N29&lt;10</formula>
    </cfRule>
    <cfRule type="expression" dxfId="1197" priority="11">
      <formula>N29&gt;15</formula>
    </cfRule>
  </conditionalFormatting>
  <conditionalFormatting sqref="N29">
    <cfRule type="expression" dxfId="1196" priority="9">
      <formula>N29&lt;1</formula>
    </cfRule>
  </conditionalFormatting>
  <conditionalFormatting sqref="F40">
    <cfRule type="expression" dxfId="1195" priority="7">
      <formula>F40&lt;55</formula>
    </cfRule>
    <cfRule type="expression" dxfId="1194" priority="8">
      <formula>F40&gt;65</formula>
    </cfRule>
  </conditionalFormatting>
  <conditionalFormatting sqref="J40 N40">
    <cfRule type="expression" dxfId="1193" priority="5">
      <formula>J40&lt;55</formula>
    </cfRule>
    <cfRule type="expression" dxfId="1192" priority="6">
      <formula>J40&gt;65</formula>
    </cfRule>
  </conditionalFormatting>
  <conditionalFormatting sqref="F19">
    <cfRule type="expression" dxfId="1191" priority="3">
      <formula>F19&lt;55</formula>
    </cfRule>
    <cfRule type="expression" dxfId="1190" priority="4">
      <formula>F19&gt;65</formula>
    </cfRule>
  </conditionalFormatting>
  <conditionalFormatting sqref="J19 N19">
    <cfRule type="expression" dxfId="1189" priority="1">
      <formula>J19&lt;55</formula>
    </cfRule>
    <cfRule type="expression" dxfId="1188"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6">
    <tabColor rgb="FFFFC000"/>
  </sheetPr>
  <dimension ref="A1:R33"/>
  <sheetViews>
    <sheetView zoomScale="55" zoomScaleNormal="55" workbookViewId="0">
      <selection activeCell="K34" sqref="K34"/>
    </sheetView>
  </sheetViews>
  <sheetFormatPr defaultRowHeight="16.5"/>
  <cols>
    <col min="1" max="1" width="5.25" style="553" customWidth="1"/>
    <col min="2" max="2" width="31.25" style="573" customWidth="1"/>
    <col min="3" max="3" width="8.375" style="553" customWidth="1"/>
    <col min="4" max="4" width="12.375" style="553" customWidth="1"/>
    <col min="5" max="5" width="9.5" style="553" customWidth="1"/>
    <col min="6" max="6" width="3.375" style="553" customWidth="1"/>
    <col min="7" max="7" width="6.375" style="553" customWidth="1"/>
    <col min="8" max="8" width="3.625" style="553" customWidth="1"/>
    <col min="9" max="9" width="9" style="553" customWidth="1"/>
    <col min="10" max="10" width="3.625" style="553" customWidth="1"/>
    <col min="11" max="12" width="5.625" style="553" customWidth="1"/>
    <col min="13" max="14" width="7.75" style="553" customWidth="1"/>
    <col min="15" max="15" width="7.75" style="574" customWidth="1"/>
    <col min="16" max="16" width="7.75" style="553" customWidth="1"/>
    <col min="17" max="18" width="6.375" style="553" customWidth="1"/>
    <col min="19" max="16384" width="9" style="553"/>
  </cols>
  <sheetData>
    <row r="1" spans="1:18" ht="33.75" customHeight="1">
      <c r="A1" s="3704" t="s">
        <v>134</v>
      </c>
      <c r="B1" s="3704"/>
      <c r="C1" s="3704"/>
      <c r="D1" s="3704"/>
      <c r="E1" s="3704"/>
      <c r="F1" s="3704"/>
      <c r="G1" s="3704"/>
      <c r="H1" s="3704"/>
      <c r="I1" s="3704"/>
      <c r="J1" s="3704"/>
      <c r="K1" s="3704"/>
      <c r="L1" s="3704"/>
      <c r="M1" s="3704"/>
      <c r="N1" s="3704"/>
      <c r="O1" s="1209"/>
      <c r="P1" s="1209"/>
      <c r="Q1" s="1209"/>
      <c r="R1" s="1209"/>
    </row>
    <row r="2" spans="1:18" ht="45.75" customHeight="1">
      <c r="A2" s="3705" t="s">
        <v>693</v>
      </c>
      <c r="B2" s="3705"/>
      <c r="C2" s="3705"/>
      <c r="D2" s="3705"/>
      <c r="E2" s="3705"/>
      <c r="F2" s="3705"/>
      <c r="G2" s="3705"/>
      <c r="H2" s="3705"/>
      <c r="I2" s="3705"/>
      <c r="J2" s="3705"/>
      <c r="K2" s="3705"/>
      <c r="L2" s="3705"/>
      <c r="M2" s="3705"/>
      <c r="N2" s="3706"/>
      <c r="O2" s="3454" t="s">
        <v>638</v>
      </c>
      <c r="P2" s="3456"/>
      <c r="Q2" s="3454" t="s">
        <v>17</v>
      </c>
      <c r="R2" s="3456"/>
    </row>
    <row r="3" spans="1:18" ht="31.5" customHeight="1">
      <c r="A3" s="554"/>
      <c r="B3" s="1992" t="str">
        <f>MENU!$AC$9</f>
        <v>Thứ 5,</v>
      </c>
      <c r="C3" s="1815" t="str">
        <f>MENU!$AD$9</f>
        <v>2024/08/01</v>
      </c>
      <c r="D3" s="1993"/>
      <c r="E3" s="554"/>
      <c r="F3" s="554"/>
      <c r="G3" s="554"/>
      <c r="H3" s="555"/>
      <c r="I3" s="555"/>
      <c r="J3" s="555"/>
      <c r="K3" s="555"/>
      <c r="L3" s="555"/>
      <c r="M3" s="555"/>
      <c r="N3" s="555"/>
      <c r="O3" s="3702" t="str">
        <f>'1.xi den'!R3</f>
        <v>L.Yen</v>
      </c>
      <c r="P3" s="3703"/>
      <c r="Q3" s="3702" t="s">
        <v>694</v>
      </c>
      <c r="R3" s="3703"/>
    </row>
    <row r="4" spans="1:18" s="559" customFormat="1" ht="43.5" customHeight="1">
      <c r="A4" s="3711" t="s">
        <v>7</v>
      </c>
      <c r="B4" s="3712" t="s">
        <v>695</v>
      </c>
      <c r="C4" s="3712" t="s">
        <v>18</v>
      </c>
      <c r="D4" s="3713" t="s">
        <v>696</v>
      </c>
      <c r="E4" s="556" t="s">
        <v>697</v>
      </c>
      <c r="F4" s="557"/>
      <c r="G4" s="557"/>
      <c r="H4" s="557"/>
      <c r="I4" s="557"/>
      <c r="J4" s="557"/>
      <c r="K4" s="557"/>
      <c r="L4" s="558"/>
      <c r="M4" s="3627" t="s">
        <v>698</v>
      </c>
      <c r="N4" s="3628"/>
      <c r="O4" s="3628"/>
      <c r="P4" s="3629"/>
      <c r="Q4" s="3721" t="s">
        <v>644</v>
      </c>
      <c r="R4" s="3722"/>
    </row>
    <row r="5" spans="1:18" s="559" customFormat="1" ht="24" customHeight="1">
      <c r="A5" s="3711"/>
      <c r="B5" s="3712"/>
      <c r="C5" s="3712"/>
      <c r="D5" s="3713"/>
      <c r="E5" s="3630">
        <v>0.375</v>
      </c>
      <c r="F5" s="3455"/>
      <c r="G5" s="3455"/>
      <c r="H5" s="3456"/>
      <c r="I5" s="3630">
        <v>0.875</v>
      </c>
      <c r="J5" s="3455"/>
      <c r="K5" s="3455"/>
      <c r="L5" s="3456"/>
      <c r="M5" s="3630">
        <v>0.375</v>
      </c>
      <c r="N5" s="3456"/>
      <c r="O5" s="3631">
        <v>0.875</v>
      </c>
      <c r="P5" s="3629"/>
      <c r="Q5" s="3723"/>
      <c r="R5" s="3724"/>
    </row>
    <row r="6" spans="1:18" s="559" customFormat="1" ht="55.5" customHeight="1">
      <c r="A6" s="3711"/>
      <c r="B6" s="3711"/>
      <c r="C6" s="3711"/>
      <c r="D6" s="3714"/>
      <c r="E6" s="1202" t="s">
        <v>699</v>
      </c>
      <c r="F6" s="3718" t="s">
        <v>700</v>
      </c>
      <c r="G6" s="3719"/>
      <c r="H6" s="3720"/>
      <c r="I6" s="1202" t="s">
        <v>699</v>
      </c>
      <c r="J6" s="3718" t="s">
        <v>700</v>
      </c>
      <c r="K6" s="3719"/>
      <c r="L6" s="3720"/>
      <c r="M6" s="2040" t="s">
        <v>701</v>
      </c>
      <c r="N6" s="2041" t="s">
        <v>702</v>
      </c>
      <c r="O6" s="2040" t="s">
        <v>701</v>
      </c>
      <c r="P6" s="2041" t="s">
        <v>702</v>
      </c>
      <c r="Q6" s="3725"/>
      <c r="R6" s="3726"/>
    </row>
    <row r="7" spans="1:18" ht="39.75" customHeight="1">
      <c r="A7" s="1203">
        <v>1</v>
      </c>
      <c r="B7" s="1203" t="s">
        <v>703</v>
      </c>
      <c r="C7" s="1203" t="s">
        <v>4</v>
      </c>
      <c r="D7" s="562" t="s">
        <v>526</v>
      </c>
      <c r="E7" s="34">
        <f>'R.FILE GOC'!H89</f>
        <v>25.911999999999999</v>
      </c>
      <c r="F7" s="1210" t="s">
        <v>8</v>
      </c>
      <c r="G7" s="1211">
        <f>'R.FILE GOC'!K89</f>
        <v>0</v>
      </c>
      <c r="H7" s="1212" t="s">
        <v>9</v>
      </c>
      <c r="I7" s="34">
        <f>'R.FILE GOC'!N89</f>
        <v>26</v>
      </c>
      <c r="J7" s="1210" t="s">
        <v>8</v>
      </c>
      <c r="K7" s="1211">
        <f>'R.FILE GOC'!Q89</f>
        <v>0</v>
      </c>
      <c r="L7" s="1212" t="s">
        <v>9</v>
      </c>
      <c r="M7" s="563"/>
      <c r="N7" s="564"/>
      <c r="O7" s="563"/>
      <c r="P7" s="564"/>
      <c r="Q7" s="3715" t="s">
        <v>12</v>
      </c>
      <c r="R7" s="3716"/>
    </row>
    <row r="8" spans="1:18" ht="39.75" customHeight="1">
      <c r="A8" s="1203">
        <v>2</v>
      </c>
      <c r="B8" s="1203" t="s">
        <v>704</v>
      </c>
      <c r="C8" s="1203" t="s">
        <v>4</v>
      </c>
      <c r="D8" s="562" t="s">
        <v>526</v>
      </c>
      <c r="E8" s="34">
        <f>'R.FILE GOC'!H90</f>
        <v>22.751999999999999</v>
      </c>
      <c r="F8" s="1210" t="s">
        <v>8</v>
      </c>
      <c r="G8" s="1211">
        <f>'R.FILE GOC'!K90</f>
        <v>3.6687360000000018</v>
      </c>
      <c r="H8" s="1212" t="s">
        <v>9</v>
      </c>
      <c r="I8" s="34">
        <f>'R.FILE GOC'!N90</f>
        <v>25</v>
      </c>
      <c r="J8" s="1210" t="s">
        <v>8</v>
      </c>
      <c r="K8" s="1211">
        <f>'R.FILE GOC'!Q90</f>
        <v>0</v>
      </c>
      <c r="L8" s="1212" t="s">
        <v>9</v>
      </c>
      <c r="M8" s="563">
        <v>23.5</v>
      </c>
      <c r="N8" s="564" t="s">
        <v>843</v>
      </c>
      <c r="O8" s="563"/>
      <c r="P8" s="564"/>
      <c r="Q8" s="3715" t="s">
        <v>12</v>
      </c>
      <c r="R8" s="3716"/>
    </row>
    <row r="9" spans="1:18" ht="39.75" customHeight="1">
      <c r="A9" s="1203">
        <v>3</v>
      </c>
      <c r="B9" s="1203" t="s">
        <v>705</v>
      </c>
      <c r="C9" s="1203" t="s">
        <v>54</v>
      </c>
      <c r="D9" s="562" t="s">
        <v>1394</v>
      </c>
      <c r="E9" s="34">
        <f>'R.FILE GOC'!H91</f>
        <v>241.24</v>
      </c>
      <c r="F9" s="1210" t="s">
        <v>8</v>
      </c>
      <c r="G9" s="1211">
        <f>'R.FILE GOC'!K91</f>
        <v>14.296319999999985</v>
      </c>
      <c r="H9" s="1212" t="s">
        <v>1147</v>
      </c>
      <c r="I9" s="34">
        <f>'R.FILE GOC'!N91</f>
        <v>245</v>
      </c>
      <c r="J9" s="1210" t="s">
        <v>8</v>
      </c>
      <c r="K9" s="1211">
        <f>'R.FILE GOC'!Q91</f>
        <v>8.16</v>
      </c>
      <c r="L9" s="1212" t="s">
        <v>1147</v>
      </c>
      <c r="M9" s="563">
        <v>243</v>
      </c>
      <c r="N9" s="564" t="s">
        <v>843</v>
      </c>
      <c r="O9" s="563">
        <v>24.8</v>
      </c>
      <c r="P9" s="564" t="s">
        <v>843</v>
      </c>
      <c r="Q9" s="3715" t="s">
        <v>16</v>
      </c>
      <c r="R9" s="3716"/>
    </row>
    <row r="10" spans="1:18" ht="39.75" customHeight="1">
      <c r="A10" s="1203">
        <v>4</v>
      </c>
      <c r="B10" s="1204" t="s">
        <v>1148</v>
      </c>
      <c r="C10" s="1203" t="s">
        <v>4</v>
      </c>
      <c r="D10" s="1545" t="s">
        <v>1395</v>
      </c>
      <c r="E10" s="34">
        <f>'R.FILE GOC'!H92</f>
        <v>123.75</v>
      </c>
      <c r="F10" s="1210" t="s">
        <v>8</v>
      </c>
      <c r="G10" s="1211">
        <f>'R.FILE GOC'!K92</f>
        <v>10.8</v>
      </c>
      <c r="H10" s="1212" t="s">
        <v>9</v>
      </c>
      <c r="I10" s="34">
        <f>'R.FILE GOC'!N92</f>
        <v>124</v>
      </c>
      <c r="J10" s="1210" t="s">
        <v>8</v>
      </c>
      <c r="K10" s="1211">
        <f>'R.FILE GOC'!Q92</f>
        <v>10.368</v>
      </c>
      <c r="L10" s="1212" t="s">
        <v>9</v>
      </c>
      <c r="M10" s="563">
        <v>124.5</v>
      </c>
      <c r="N10" s="564" t="s">
        <v>843</v>
      </c>
      <c r="O10" s="563">
        <v>124.5</v>
      </c>
      <c r="P10" s="564" t="s">
        <v>843</v>
      </c>
      <c r="Q10" s="3715" t="s">
        <v>706</v>
      </c>
      <c r="R10" s="3716"/>
    </row>
    <row r="11" spans="1:18" ht="39.75" customHeight="1">
      <c r="A11" s="1203">
        <v>5</v>
      </c>
      <c r="B11" s="1204" t="s">
        <v>1149</v>
      </c>
      <c r="C11" s="1203" t="s">
        <v>4</v>
      </c>
      <c r="D11" s="565" t="s">
        <v>536</v>
      </c>
      <c r="E11" s="34">
        <f>'R.FILE GOC'!H93</f>
        <v>2.1250000000000013</v>
      </c>
      <c r="F11" s="1210" t="s">
        <v>8</v>
      </c>
      <c r="G11" s="1211" t="str">
        <f>'R.FILE GOC'!K93</f>
        <v>N/A</v>
      </c>
      <c r="H11" s="1212" t="s">
        <v>9</v>
      </c>
      <c r="I11" s="34">
        <f>'R.FILE GOC'!N93</f>
        <v>2.2500000000000009</v>
      </c>
      <c r="J11" s="1210" t="s">
        <v>8</v>
      </c>
      <c r="K11" s="1211" t="str">
        <f>'R.FILE GOC'!Q93</f>
        <v>N/A</v>
      </c>
      <c r="L11" s="1212" t="s">
        <v>9</v>
      </c>
      <c r="M11" s="563"/>
      <c r="N11" s="564"/>
      <c r="O11" s="563"/>
      <c r="P11" s="564"/>
      <c r="Q11" s="3715" t="s">
        <v>707</v>
      </c>
      <c r="R11" s="3716"/>
    </row>
    <row r="12" spans="1:18" ht="39.75" customHeight="1">
      <c r="A12" s="1203">
        <v>6</v>
      </c>
      <c r="B12" s="1204" t="s">
        <v>1150</v>
      </c>
      <c r="C12" s="1203" t="s">
        <v>4</v>
      </c>
      <c r="D12" s="1545" t="s">
        <v>1395</v>
      </c>
      <c r="E12" s="34">
        <f>'R.FILE GOC'!H94</f>
        <v>122.50000000000001</v>
      </c>
      <c r="F12" s="1210" t="s">
        <v>8</v>
      </c>
      <c r="G12" s="1211">
        <f>'R.FILE GOC'!K94</f>
        <v>12.959999999999974</v>
      </c>
      <c r="H12" s="1212" t="s">
        <v>9</v>
      </c>
      <c r="I12" s="34">
        <f>'R.FILE GOC'!N94</f>
        <v>123.75</v>
      </c>
      <c r="J12" s="1210" t="s">
        <v>8</v>
      </c>
      <c r="K12" s="1211">
        <f>'R.FILE GOC'!Q94</f>
        <v>10.8</v>
      </c>
      <c r="L12" s="1212" t="s">
        <v>9</v>
      </c>
      <c r="M12" s="563">
        <v>123</v>
      </c>
      <c r="N12" s="564" t="s">
        <v>843</v>
      </c>
      <c r="O12" s="563">
        <v>124</v>
      </c>
      <c r="P12" s="564" t="s">
        <v>843</v>
      </c>
      <c r="Q12" s="3715" t="s">
        <v>706</v>
      </c>
      <c r="R12" s="3716"/>
    </row>
    <row r="13" spans="1:18" ht="39.75" customHeight="1">
      <c r="A13" s="1203">
        <v>7</v>
      </c>
      <c r="B13" s="1204" t="s">
        <v>1151</v>
      </c>
      <c r="C13" s="1203" t="s">
        <v>4</v>
      </c>
      <c r="D13" s="565" t="s">
        <v>536</v>
      </c>
      <c r="E13" s="34">
        <f>'R.FILE GOC'!H95</f>
        <v>2.1250000000000013</v>
      </c>
      <c r="F13" s="1210" t="s">
        <v>8</v>
      </c>
      <c r="G13" s="1211" t="str">
        <f>'R.FILE GOC'!K95</f>
        <v>N/A</v>
      </c>
      <c r="H13" s="1212" t="s">
        <v>9</v>
      </c>
      <c r="I13" s="34">
        <f>'R.FILE GOC'!N95</f>
        <v>2.6250000000000009</v>
      </c>
      <c r="J13" s="1210" t="s">
        <v>8</v>
      </c>
      <c r="K13" s="1211" t="str">
        <f>'R.FILE GOC'!Q95</f>
        <v>N/A</v>
      </c>
      <c r="L13" s="1212" t="s">
        <v>9</v>
      </c>
      <c r="M13" s="563"/>
      <c r="N13" s="564"/>
      <c r="O13" s="563"/>
      <c r="P13" s="564"/>
      <c r="Q13" s="3715" t="s">
        <v>707</v>
      </c>
      <c r="R13" s="3716"/>
    </row>
    <row r="14" spans="1:18" ht="39.75" customHeight="1">
      <c r="A14" s="1203">
        <v>8</v>
      </c>
      <c r="B14" s="1204" t="s">
        <v>1152</v>
      </c>
      <c r="C14" s="1203" t="s">
        <v>4</v>
      </c>
      <c r="D14" s="1545" t="s">
        <v>1395</v>
      </c>
      <c r="E14" s="34">
        <f>'R.FILE GOC'!H96</f>
        <v>122.50000000000001</v>
      </c>
      <c r="F14" s="1210" t="s">
        <v>8</v>
      </c>
      <c r="G14" s="1211">
        <f>'R.FILE GOC'!K96</f>
        <v>12.959999999999974</v>
      </c>
      <c r="H14" s="1212" t="s">
        <v>9</v>
      </c>
      <c r="I14" s="34">
        <f>'R.FILE GOC'!N96</f>
        <v>123.5</v>
      </c>
      <c r="J14" s="1210" t="s">
        <v>8</v>
      </c>
      <c r="K14" s="1211">
        <f>'R.FILE GOC'!Q96</f>
        <v>11.231999999999999</v>
      </c>
      <c r="L14" s="1212" t="s">
        <v>9</v>
      </c>
      <c r="M14" s="563">
        <v>123.5</v>
      </c>
      <c r="N14" s="564" t="s">
        <v>843</v>
      </c>
      <c r="O14" s="563">
        <v>124.3</v>
      </c>
      <c r="P14" s="564" t="s">
        <v>843</v>
      </c>
      <c r="Q14" s="3715" t="s">
        <v>706</v>
      </c>
      <c r="R14" s="3716"/>
    </row>
    <row r="15" spans="1:18" ht="39.75" customHeight="1">
      <c r="A15" s="1203">
        <v>9</v>
      </c>
      <c r="B15" s="1204" t="s">
        <v>1153</v>
      </c>
      <c r="C15" s="1203" t="s">
        <v>4</v>
      </c>
      <c r="D15" s="565" t="s">
        <v>536</v>
      </c>
      <c r="E15" s="34">
        <f>'R.FILE GOC'!H97</f>
        <v>2.1250000000000013</v>
      </c>
      <c r="F15" s="1210" t="s">
        <v>8</v>
      </c>
      <c r="G15" s="1211" t="str">
        <f>'R.FILE GOC'!K97</f>
        <v>N/A</v>
      </c>
      <c r="H15" s="1212" t="s">
        <v>9</v>
      </c>
      <c r="I15" s="34">
        <f>'R.FILE GOC'!N97</f>
        <v>2.1249999999999991</v>
      </c>
      <c r="J15" s="1210" t="s">
        <v>8</v>
      </c>
      <c r="K15" s="1211" t="str">
        <f>'R.FILE GOC'!Q97</f>
        <v>N/A</v>
      </c>
      <c r="L15" s="1212" t="s">
        <v>9</v>
      </c>
      <c r="M15" s="563"/>
      <c r="N15" s="564"/>
      <c r="O15" s="563"/>
      <c r="P15" s="564"/>
      <c r="Q15" s="3715" t="s">
        <v>707</v>
      </c>
      <c r="R15" s="3716"/>
    </row>
    <row r="16" spans="1:18" ht="39.75" customHeight="1">
      <c r="A16" s="3707">
        <v>10</v>
      </c>
      <c r="B16" s="3709" t="s">
        <v>708</v>
      </c>
      <c r="C16" s="1203" t="s">
        <v>4</v>
      </c>
      <c r="D16" s="562" t="s">
        <v>543</v>
      </c>
      <c r="E16" s="34">
        <f>'R.FILE GOC'!H98</f>
        <v>8.2160000000000011</v>
      </c>
      <c r="F16" s="1210" t="s">
        <v>8</v>
      </c>
      <c r="G16" s="1211">
        <f>'R.FILE GOC'!K98</f>
        <v>3.0827519999999979</v>
      </c>
      <c r="H16" s="1212" t="s">
        <v>9</v>
      </c>
      <c r="I16" s="34">
        <f>'R.FILE GOC'!N98</f>
        <v>8.5</v>
      </c>
      <c r="J16" s="1210" t="s">
        <v>8</v>
      </c>
      <c r="K16" s="1211">
        <f>'R.FILE GOC'!Q98</f>
        <v>2.5920000000000001</v>
      </c>
      <c r="L16" s="1212" t="s">
        <v>9</v>
      </c>
      <c r="M16" s="563">
        <v>8.5</v>
      </c>
      <c r="N16" s="564" t="s">
        <v>843</v>
      </c>
      <c r="O16" s="563">
        <v>8.6</v>
      </c>
      <c r="P16" s="564" t="s">
        <v>843</v>
      </c>
      <c r="Q16" s="3715" t="s">
        <v>709</v>
      </c>
      <c r="R16" s="3716"/>
    </row>
    <row r="17" spans="1:18" ht="33" customHeight="1">
      <c r="A17" s="3708"/>
      <c r="B17" s="3710"/>
      <c r="C17" s="1203" t="s">
        <v>5</v>
      </c>
      <c r="D17" s="562" t="s">
        <v>545</v>
      </c>
      <c r="E17" s="608">
        <f>'R.FILE GOC'!H99</f>
        <v>6.4</v>
      </c>
      <c r="F17" s="1213"/>
      <c r="G17" s="1213"/>
      <c r="H17" s="1213"/>
      <c r="I17" s="608">
        <f>'R.FILE GOC'!N99</f>
        <v>6.1</v>
      </c>
      <c r="J17" s="1214"/>
      <c r="K17" s="1214"/>
      <c r="L17" s="1215"/>
      <c r="M17" s="563"/>
      <c r="N17" s="564"/>
      <c r="O17" s="563"/>
      <c r="P17" s="564"/>
      <c r="Q17" s="3717"/>
      <c r="R17" s="3716"/>
    </row>
    <row r="18" spans="1:18" ht="30" hidden="1" customHeight="1">
      <c r="A18" s="1203">
        <v>11</v>
      </c>
      <c r="B18" s="566" t="s">
        <v>710</v>
      </c>
      <c r="C18" s="1205" t="s">
        <v>5</v>
      </c>
      <c r="D18" s="47" t="s">
        <v>1397</v>
      </c>
      <c r="E18" s="1547">
        <f>'R.FILE GOC'!H100</f>
        <v>0</v>
      </c>
      <c r="F18" s="1548"/>
      <c r="G18" s="1548"/>
      <c r="H18" s="1548"/>
      <c r="I18" s="1547">
        <f>'R.FILE GOC'!N100</f>
        <v>0</v>
      </c>
      <c r="J18" s="1214"/>
      <c r="K18" s="1214"/>
      <c r="L18" s="1215"/>
      <c r="M18" s="563"/>
      <c r="N18" s="564"/>
      <c r="O18" s="567"/>
      <c r="P18" s="564"/>
      <c r="Q18" s="3727"/>
      <c r="R18" s="3728"/>
    </row>
    <row r="19" spans="1:18" ht="31.5" hidden="1" customHeight="1">
      <c r="A19" s="1203">
        <v>12</v>
      </c>
      <c r="B19" s="568" t="s">
        <v>711</v>
      </c>
      <c r="C19" s="1205" t="s">
        <v>5</v>
      </c>
      <c r="D19" s="47" t="s">
        <v>1397</v>
      </c>
      <c r="E19" s="1547">
        <f>'R.FILE GOC'!H101</f>
        <v>0</v>
      </c>
      <c r="F19" s="1548"/>
      <c r="G19" s="1548"/>
      <c r="H19" s="1548"/>
      <c r="I19" s="1547">
        <f>'R.FILE GOC'!N101</f>
        <v>0</v>
      </c>
      <c r="J19" s="1216"/>
      <c r="K19" s="1216"/>
      <c r="L19" s="1217"/>
      <c r="M19" s="563"/>
      <c r="N19" s="564"/>
      <c r="O19" s="567"/>
      <c r="P19" s="564"/>
      <c r="Q19" s="3727"/>
      <c r="R19" s="3728"/>
    </row>
    <row r="20" spans="1:18" ht="32.25" customHeight="1">
      <c r="A20" s="1203">
        <v>13</v>
      </c>
      <c r="B20" s="566" t="s">
        <v>712</v>
      </c>
      <c r="C20" s="1205" t="s">
        <v>5</v>
      </c>
      <c r="D20" s="47" t="s">
        <v>1397</v>
      </c>
      <c r="E20" s="1547">
        <f>'R.FILE GOC'!H102</f>
        <v>5.5</v>
      </c>
      <c r="F20" s="1548"/>
      <c r="G20" s="1548"/>
      <c r="H20" s="1548"/>
      <c r="I20" s="1547">
        <f>'R.FILE GOC'!N102</f>
        <v>5.6</v>
      </c>
      <c r="J20" s="1216"/>
      <c r="K20" s="1216"/>
      <c r="L20" s="1217"/>
      <c r="M20" s="563"/>
      <c r="N20" s="564"/>
      <c r="O20" s="567"/>
      <c r="P20" s="564"/>
      <c r="Q20" s="3727"/>
      <c r="R20" s="3728"/>
    </row>
    <row r="21" spans="1:18" ht="31.5" customHeight="1">
      <c r="A21" s="1203"/>
      <c r="B21" s="569" t="s">
        <v>136</v>
      </c>
      <c r="C21" s="570"/>
      <c r="D21" s="570"/>
      <c r="E21" s="570"/>
      <c r="F21" s="570"/>
      <c r="G21" s="570"/>
      <c r="H21" s="570"/>
      <c r="I21" s="570"/>
      <c r="J21" s="570"/>
      <c r="K21" s="570"/>
      <c r="L21" s="570"/>
      <c r="M21" s="570"/>
      <c r="N21" s="570"/>
      <c r="O21" s="570"/>
      <c r="P21" s="570"/>
      <c r="Q21" s="570"/>
      <c r="R21" s="571"/>
    </row>
    <row r="22" spans="1:18" ht="43.5" customHeight="1">
      <c r="A22" s="3707" t="s">
        <v>7</v>
      </c>
      <c r="B22" s="3729" t="s">
        <v>21</v>
      </c>
      <c r="C22" s="3729" t="s">
        <v>22</v>
      </c>
      <c r="D22" s="3729" t="s">
        <v>23</v>
      </c>
      <c r="E22" s="3712" t="s">
        <v>45</v>
      </c>
      <c r="F22" s="3712"/>
      <c r="G22" s="3731" t="s">
        <v>61</v>
      </c>
      <c r="H22" s="3731"/>
      <c r="I22" s="3712" t="s">
        <v>45</v>
      </c>
      <c r="J22" s="3712"/>
      <c r="K22" s="3731" t="s">
        <v>61</v>
      </c>
      <c r="L22" s="3731"/>
      <c r="M22" s="3732"/>
      <c r="N22" s="3732"/>
      <c r="O22" s="3729"/>
      <c r="P22" s="3732"/>
      <c r="Q22" s="3736"/>
      <c r="R22" s="3737"/>
    </row>
    <row r="23" spans="1:18" ht="22.5" customHeight="1">
      <c r="A23" s="3708"/>
      <c r="B23" s="3730"/>
      <c r="C23" s="3730"/>
      <c r="D23" s="3730"/>
      <c r="E23" s="3630">
        <v>0.375</v>
      </c>
      <c r="F23" s="3455"/>
      <c r="G23" s="3455"/>
      <c r="H23" s="3456"/>
      <c r="I23" s="3630">
        <v>0.875</v>
      </c>
      <c r="J23" s="3455"/>
      <c r="K23" s="3455"/>
      <c r="L23" s="3456"/>
      <c r="M23" s="3733"/>
      <c r="N23" s="3733"/>
      <c r="O23" s="3730"/>
      <c r="P23" s="3733"/>
      <c r="Q23" s="3738"/>
      <c r="R23" s="3739"/>
    </row>
    <row r="24" spans="1:18" ht="36.75" customHeight="1">
      <c r="A24" s="1203">
        <v>1</v>
      </c>
      <c r="B24" s="1203" t="s">
        <v>703</v>
      </c>
      <c r="C24" s="572" t="s">
        <v>26</v>
      </c>
      <c r="D24" s="1546" t="s">
        <v>1399</v>
      </c>
      <c r="E24" s="3295">
        <f>'R.FILE GOC'!H105</f>
        <v>61</v>
      </c>
      <c r="F24" s="3357"/>
      <c r="G24" s="3295">
        <f>'R.FILE GOC'!K105</f>
        <v>62</v>
      </c>
      <c r="H24" s="3357"/>
      <c r="I24" s="3283">
        <f>'R.FILE GOC'!N105</f>
        <v>59</v>
      </c>
      <c r="J24" s="3283"/>
      <c r="K24" s="3283">
        <f>'R.FILE GOC'!Q105</f>
        <v>62</v>
      </c>
      <c r="L24" s="3283"/>
      <c r="M24" s="1198"/>
      <c r="N24" s="1198"/>
      <c r="O24" s="3734"/>
      <c r="P24" s="3735"/>
      <c r="Q24" s="3727"/>
      <c r="R24" s="3728"/>
    </row>
    <row r="25" spans="1:18" ht="36.75" customHeight="1">
      <c r="A25" s="1203">
        <v>2</v>
      </c>
      <c r="B25" s="1203" t="s">
        <v>704</v>
      </c>
      <c r="C25" s="572" t="s">
        <v>26</v>
      </c>
      <c r="D25" s="1546" t="s">
        <v>1399</v>
      </c>
      <c r="E25" s="3295">
        <f>'R.FILE GOC'!H106</f>
        <v>60</v>
      </c>
      <c r="F25" s="3357"/>
      <c r="G25" s="3295">
        <f>'R.FILE GOC'!K106</f>
        <v>63</v>
      </c>
      <c r="H25" s="3357"/>
      <c r="I25" s="3283">
        <f>'R.FILE GOC'!N106</f>
        <v>55</v>
      </c>
      <c r="J25" s="3283"/>
      <c r="K25" s="3283">
        <f>'R.FILE GOC'!Q106</f>
        <v>62</v>
      </c>
      <c r="L25" s="3283"/>
      <c r="M25" s="1198"/>
      <c r="N25" s="1198"/>
      <c r="O25" s="3734"/>
      <c r="P25" s="3735"/>
      <c r="Q25" s="3727"/>
      <c r="R25" s="3728"/>
    </row>
    <row r="26" spans="1:18" ht="36.75" customHeight="1">
      <c r="A26" s="1203">
        <v>3</v>
      </c>
      <c r="B26" s="1204" t="s">
        <v>1154</v>
      </c>
      <c r="C26" s="572" t="s">
        <v>26</v>
      </c>
      <c r="D26" s="1546" t="s">
        <v>1400</v>
      </c>
      <c r="E26" s="3295">
        <f>'R.FILE GOC'!H107</f>
        <v>23</v>
      </c>
      <c r="F26" s="3357"/>
      <c r="G26" s="3295">
        <f>'R.FILE GOC'!K107</f>
        <v>19</v>
      </c>
      <c r="H26" s="3357"/>
      <c r="I26" s="3295">
        <f>'R.FILE GOC'!N107</f>
        <v>23</v>
      </c>
      <c r="J26" s="3357"/>
      <c r="K26" s="3283">
        <f>'R.FILE GOC'!Q107</f>
        <v>19</v>
      </c>
      <c r="L26" s="3283"/>
      <c r="M26" s="1198"/>
      <c r="N26" s="1198"/>
      <c r="O26" s="3734"/>
      <c r="P26" s="3735"/>
      <c r="Q26" s="3727"/>
      <c r="R26" s="3728"/>
    </row>
    <row r="27" spans="1:18" ht="36.75" customHeight="1">
      <c r="A27" s="1203">
        <v>4</v>
      </c>
      <c r="B27" s="1204" t="s">
        <v>1155</v>
      </c>
      <c r="C27" s="572" t="s">
        <v>26</v>
      </c>
      <c r="D27" s="1546" t="s">
        <v>1400</v>
      </c>
      <c r="E27" s="3295">
        <f>'R.FILE GOC'!H108</f>
        <v>23</v>
      </c>
      <c r="F27" s="3357"/>
      <c r="G27" s="3295">
        <f>'R.FILE GOC'!K108</f>
        <v>19</v>
      </c>
      <c r="H27" s="3357"/>
      <c r="I27" s="3295">
        <f>'R.FILE GOC'!N108</f>
        <v>23</v>
      </c>
      <c r="J27" s="3357"/>
      <c r="K27" s="3283">
        <f>'R.FILE GOC'!Q108</f>
        <v>18</v>
      </c>
      <c r="L27" s="3283"/>
      <c r="M27" s="1198"/>
      <c r="N27" s="1198"/>
      <c r="O27" s="3734"/>
      <c r="P27" s="3735"/>
      <c r="Q27" s="3727"/>
      <c r="R27" s="3728"/>
    </row>
    <row r="28" spans="1:18" ht="36.75" customHeight="1">
      <c r="A28" s="1203">
        <v>5</v>
      </c>
      <c r="B28" s="1204" t="s">
        <v>1156</v>
      </c>
      <c r="C28" s="572" t="s">
        <v>26</v>
      </c>
      <c r="D28" s="1546" t="s">
        <v>1400</v>
      </c>
      <c r="E28" s="3295">
        <f>'R.FILE GOC'!H109</f>
        <v>22</v>
      </c>
      <c r="F28" s="3357"/>
      <c r="G28" s="3295">
        <f>'R.FILE GOC'!K109</f>
        <v>18</v>
      </c>
      <c r="H28" s="3357"/>
      <c r="I28" s="3295">
        <f>'R.FILE GOC'!N109</f>
        <v>22</v>
      </c>
      <c r="J28" s="3357"/>
      <c r="K28" s="3283">
        <f>'R.FILE GOC'!Q109</f>
        <v>18</v>
      </c>
      <c r="L28" s="3283"/>
      <c r="M28" s="1198"/>
      <c r="N28" s="1198"/>
      <c r="O28" s="3734"/>
      <c r="P28" s="3735"/>
      <c r="Q28" s="3727"/>
      <c r="R28" s="3728"/>
    </row>
    <row r="29" spans="1:18" ht="36.75" customHeight="1">
      <c r="A29" s="1203">
        <v>6</v>
      </c>
      <c r="B29" s="1204" t="s">
        <v>713</v>
      </c>
      <c r="C29" s="572" t="s">
        <v>26</v>
      </c>
      <c r="D29" s="1546" t="s">
        <v>1563</v>
      </c>
      <c r="E29" s="3283">
        <v>46</v>
      </c>
      <c r="F29" s="3283"/>
      <c r="G29" s="3283">
        <v>47</v>
      </c>
      <c r="H29" s="3283"/>
      <c r="I29" s="3283">
        <v>46</v>
      </c>
      <c r="J29" s="3283"/>
      <c r="K29" s="3283">
        <v>45</v>
      </c>
      <c r="L29" s="3283"/>
      <c r="M29" s="1198"/>
      <c r="N29" s="1198"/>
      <c r="O29" s="3734"/>
      <c r="P29" s="3735"/>
      <c r="Q29" s="3727"/>
      <c r="R29" s="3728"/>
    </row>
    <row r="30" spans="1:18" ht="33.75" hidden="1" customHeight="1">
      <c r="A30" s="1203">
        <v>7</v>
      </c>
      <c r="B30" s="566" t="s">
        <v>710</v>
      </c>
      <c r="C30" s="572" t="s">
        <v>26</v>
      </c>
      <c r="D30" s="1546" t="s">
        <v>1441</v>
      </c>
      <c r="E30" s="3283">
        <f>'R.FILE GOC'!H111</f>
        <v>0</v>
      </c>
      <c r="F30" s="3283"/>
      <c r="G30" s="3283">
        <f>'R.FILE GOC'!K111</f>
        <v>0</v>
      </c>
      <c r="H30" s="3283"/>
      <c r="I30" s="3283">
        <f>'R.FILE GOC'!N111</f>
        <v>0</v>
      </c>
      <c r="J30" s="3283"/>
      <c r="K30" s="3283">
        <f>'R.FILE GOC'!Q111</f>
        <v>0</v>
      </c>
      <c r="L30" s="3283"/>
      <c r="M30" s="1198"/>
      <c r="N30" s="1198"/>
      <c r="O30" s="3740"/>
      <c r="P30" s="3741"/>
      <c r="Q30" s="3727"/>
      <c r="R30" s="3728"/>
    </row>
    <row r="31" spans="1:18" ht="35.25" hidden="1" customHeight="1">
      <c r="A31" s="1203">
        <v>8</v>
      </c>
      <c r="B31" s="568" t="s">
        <v>711</v>
      </c>
      <c r="C31" s="572" t="s">
        <v>26</v>
      </c>
      <c r="D31" s="1546" t="s">
        <v>1442</v>
      </c>
      <c r="E31" s="3283">
        <f>'R.FILE GOC'!H112</f>
        <v>0</v>
      </c>
      <c r="F31" s="3283"/>
      <c r="G31" s="3283">
        <f>'R.FILE GOC'!K112</f>
        <v>0</v>
      </c>
      <c r="H31" s="3283"/>
      <c r="I31" s="3283">
        <f>'R.FILE GOC'!N112</f>
        <v>0</v>
      </c>
      <c r="J31" s="3283"/>
      <c r="K31" s="3283">
        <f>'R.FILE GOC'!Q112</f>
        <v>0</v>
      </c>
      <c r="L31" s="3283"/>
      <c r="M31" s="1198"/>
      <c r="N31" s="1198"/>
      <c r="O31" s="3740"/>
      <c r="P31" s="3741"/>
      <c r="Q31" s="3727"/>
      <c r="R31" s="3728"/>
    </row>
    <row r="32" spans="1:18" ht="36.75" customHeight="1">
      <c r="A32" s="1203">
        <v>9</v>
      </c>
      <c r="B32" s="566" t="s">
        <v>712</v>
      </c>
      <c r="C32" s="572" t="s">
        <v>26</v>
      </c>
      <c r="D32" s="1546" t="s">
        <v>1441</v>
      </c>
      <c r="E32" s="3283">
        <f>'R.FILE GOC'!H113</f>
        <v>65</v>
      </c>
      <c r="F32" s="3283"/>
      <c r="G32" s="3283">
        <f>'R.FILE GOC'!K113</f>
        <v>61</v>
      </c>
      <c r="H32" s="3283"/>
      <c r="I32" s="3283">
        <f>'R.FILE GOC'!N113</f>
        <v>64</v>
      </c>
      <c r="J32" s="3283"/>
      <c r="K32" s="3283">
        <f>'R.FILE GOC'!Q113</f>
        <v>61</v>
      </c>
      <c r="L32" s="3283"/>
      <c r="M32" s="1198"/>
      <c r="N32" s="1198"/>
      <c r="O32" s="3740"/>
      <c r="P32" s="3741"/>
      <c r="Q32" s="3727"/>
      <c r="R32" s="3728"/>
    </row>
    <row r="33" spans="1:18" ht="36.75" customHeight="1">
      <c r="A33" s="1203">
        <v>11</v>
      </c>
      <c r="B33" s="1204" t="s">
        <v>714</v>
      </c>
      <c r="C33" s="572" t="s">
        <v>26</v>
      </c>
      <c r="D33" s="1546" t="s">
        <v>1401</v>
      </c>
      <c r="E33" s="3700" t="str">
        <f>'R.FILE GOC'!H114</f>
        <v>\</v>
      </c>
      <c r="F33" s="3701"/>
      <c r="G33" s="3295">
        <f>'R.FILE GOC'!K114</f>
        <v>104</v>
      </c>
      <c r="H33" s="3357"/>
      <c r="I33" s="3699" t="str">
        <f>'R.FILE GOC'!N114</f>
        <v>\</v>
      </c>
      <c r="J33" s="3699"/>
      <c r="K33" s="3283">
        <v>106</v>
      </c>
      <c r="L33" s="3283"/>
      <c r="M33" s="1198"/>
      <c r="N33" s="1198"/>
      <c r="O33" s="3740"/>
      <c r="P33" s="3741"/>
      <c r="Q33" s="3727"/>
      <c r="R33" s="3728"/>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7" type="noConversion"/>
  <conditionalFormatting sqref="E7:E8 I7:I8">
    <cfRule type="expression" dxfId="1187" priority="123">
      <formula>E7&lt;20</formula>
    </cfRule>
    <cfRule type="expression" dxfId="1186" priority="124">
      <formula>E7&gt;30</formula>
    </cfRule>
  </conditionalFormatting>
  <conditionalFormatting sqref="E9 I9">
    <cfRule type="expression" dxfId="1185" priority="121">
      <formula>E9&lt;210</formula>
    </cfRule>
    <cfRule type="expression" dxfId="1184" priority="122">
      <formula>E9&gt;290</formula>
    </cfRule>
  </conditionalFormatting>
  <conditionalFormatting sqref="E10 E12 E14 I10 I12 I14">
    <cfRule type="expression" dxfId="1183" priority="119">
      <formula>E10&lt;120</formula>
    </cfRule>
    <cfRule type="expression" dxfId="1182" priority="120">
      <formula>E10&gt;150</formula>
    </cfRule>
  </conditionalFormatting>
  <conditionalFormatting sqref="E11 E13 E15 I11 I13 I15">
    <cfRule type="expression" dxfId="1181" priority="117">
      <formula>E11&lt;1</formula>
    </cfRule>
    <cfRule type="expression" dxfId="1180" priority="118">
      <formula>E11&gt;5</formula>
    </cfRule>
  </conditionalFormatting>
  <conditionalFormatting sqref="E16 I16">
    <cfRule type="expression" dxfId="1179" priority="115">
      <formula>E16&lt;8</formula>
    </cfRule>
    <cfRule type="expression" dxfId="1178" priority="116">
      <formula>E16&gt;12</formula>
    </cfRule>
  </conditionalFormatting>
  <conditionalFormatting sqref="E17">
    <cfRule type="expression" dxfId="1177" priority="113">
      <formula>E17&lt;6</formula>
    </cfRule>
    <cfRule type="expression" dxfId="1176" priority="114">
      <formula>E17&gt;8</formula>
    </cfRule>
  </conditionalFormatting>
  <conditionalFormatting sqref="E24">
    <cfRule type="expression" dxfId="1175" priority="109">
      <formula>E24&lt;45</formula>
    </cfRule>
    <cfRule type="expression" dxfId="1174" priority="110">
      <formula>E24&gt;65</formula>
    </cfRule>
  </conditionalFormatting>
  <conditionalFormatting sqref="E25">
    <cfRule type="expression" dxfId="1173" priority="107">
      <formula>E25&lt;45</formula>
    </cfRule>
    <cfRule type="expression" dxfId="1172" priority="108">
      <formula>E25&gt;65</formula>
    </cfRule>
  </conditionalFormatting>
  <conditionalFormatting sqref="G33">
    <cfRule type="expression" dxfId="1171" priority="101">
      <formula>G33&lt;100</formula>
    </cfRule>
    <cfRule type="expression" dxfId="1170" priority="102">
      <formula>G33&gt;110</formula>
    </cfRule>
  </conditionalFormatting>
  <conditionalFormatting sqref="G24">
    <cfRule type="expression" dxfId="1169" priority="99">
      <formula>G24&lt;45</formula>
    </cfRule>
    <cfRule type="expression" dxfId="1168" priority="100">
      <formula>G24&gt;65</formula>
    </cfRule>
  </conditionalFormatting>
  <conditionalFormatting sqref="G25">
    <cfRule type="expression" dxfId="1167" priority="97">
      <formula>G25&lt;45</formula>
    </cfRule>
    <cfRule type="expression" dxfId="1166" priority="98">
      <formula>G25&gt;65</formula>
    </cfRule>
  </conditionalFormatting>
  <conditionalFormatting sqref="I17">
    <cfRule type="expression" dxfId="1165" priority="91">
      <formula>I17&lt;6</formula>
    </cfRule>
    <cfRule type="expression" dxfId="1164" priority="92">
      <formula>I17&gt;8</formula>
    </cfRule>
  </conditionalFormatting>
  <conditionalFormatting sqref="I24">
    <cfRule type="expression" dxfId="1163" priority="87">
      <formula>I24&lt;45</formula>
    </cfRule>
    <cfRule type="expression" dxfId="1162" priority="88">
      <formula>I24&gt;65</formula>
    </cfRule>
  </conditionalFormatting>
  <conditionalFormatting sqref="I25">
    <cfRule type="expression" dxfId="1161" priority="85">
      <formula>I25&lt;45</formula>
    </cfRule>
    <cfRule type="expression" dxfId="1160" priority="86">
      <formula>I25&gt;65</formula>
    </cfRule>
  </conditionalFormatting>
  <conditionalFormatting sqref="K33">
    <cfRule type="expression" dxfId="1159" priority="79">
      <formula>K33&lt;100</formula>
    </cfRule>
    <cfRule type="expression" dxfId="1158" priority="80">
      <formula>K33&gt;110</formula>
    </cfRule>
  </conditionalFormatting>
  <conditionalFormatting sqref="K24">
    <cfRule type="expression" dxfId="1157" priority="77">
      <formula>K24&lt;45</formula>
    </cfRule>
    <cfRule type="expression" dxfId="1156" priority="78">
      <formula>K24&gt;65</formula>
    </cfRule>
  </conditionalFormatting>
  <conditionalFormatting sqref="K25">
    <cfRule type="expression" dxfId="1155" priority="75">
      <formula>K25&lt;45</formula>
    </cfRule>
    <cfRule type="expression" dxfId="1154" priority="76">
      <formula>K25&gt;65</formula>
    </cfRule>
  </conditionalFormatting>
  <conditionalFormatting sqref="E26">
    <cfRule type="expression" dxfId="1153" priority="69">
      <formula>E26&lt;18</formula>
    </cfRule>
    <cfRule type="expression" dxfId="1152" priority="70">
      <formula>E26&gt;25</formula>
    </cfRule>
  </conditionalFormatting>
  <conditionalFormatting sqref="E27:E28">
    <cfRule type="expression" dxfId="1151" priority="67">
      <formula>E27&lt;18</formula>
    </cfRule>
    <cfRule type="expression" dxfId="1150" priority="68">
      <formula>E27&gt;25</formula>
    </cfRule>
  </conditionalFormatting>
  <conditionalFormatting sqref="G26:G28 I26:I28 K26:K28">
    <cfRule type="expression" dxfId="1149" priority="65">
      <formula>G26&lt;18</formula>
    </cfRule>
    <cfRule type="expression" dxfId="1148" priority="66">
      <formula>G26&gt;25</formula>
    </cfRule>
  </conditionalFormatting>
  <conditionalFormatting sqref="E18">
    <cfRule type="expression" dxfId="1147" priority="55">
      <formula>E18&lt;5.5</formula>
    </cfRule>
    <cfRule type="expression" dxfId="1146" priority="56">
      <formula>E18&gt;6</formula>
    </cfRule>
  </conditionalFormatting>
  <conditionalFormatting sqref="E19:E20">
    <cfRule type="expression" dxfId="1145" priority="53">
      <formula>E19&lt;5.5</formula>
    </cfRule>
    <cfRule type="expression" dxfId="1144" priority="54">
      <formula>E19&gt;6</formula>
    </cfRule>
  </conditionalFormatting>
  <conditionalFormatting sqref="I18">
    <cfRule type="expression" dxfId="1143" priority="51">
      <formula>I18&lt;5.5</formula>
    </cfRule>
    <cfRule type="expression" dxfId="1142" priority="52">
      <formula>I18&gt;6</formula>
    </cfRule>
  </conditionalFormatting>
  <conditionalFormatting sqref="I19:I20">
    <cfRule type="expression" dxfId="1141" priority="49">
      <formula>I19&lt;5.5</formula>
    </cfRule>
    <cfRule type="expression" dxfId="1140" priority="50">
      <formula>I19&gt;6</formula>
    </cfRule>
  </conditionalFormatting>
  <conditionalFormatting sqref="E30">
    <cfRule type="expression" dxfId="1139" priority="45">
      <formula>E30&lt;55</formula>
    </cfRule>
    <cfRule type="expression" dxfId="1138" priority="46">
      <formula>E30&gt;65</formula>
    </cfRule>
  </conditionalFormatting>
  <conditionalFormatting sqref="E32">
    <cfRule type="expression" dxfId="1137" priority="43">
      <formula>E32&lt;55</formula>
    </cfRule>
    <cfRule type="expression" dxfId="1136" priority="44">
      <formula>E32&gt;65</formula>
    </cfRule>
  </conditionalFormatting>
  <conditionalFormatting sqref="E31">
    <cfRule type="expression" dxfId="1135" priority="41">
      <formula>E31&lt;42</formula>
    </cfRule>
    <cfRule type="expression" dxfId="1134" priority="42">
      <formula>E31&gt;47</formula>
    </cfRule>
  </conditionalFormatting>
  <conditionalFormatting sqref="G30">
    <cfRule type="expression" dxfId="1133" priority="37">
      <formula>G30&lt;55</formula>
    </cfRule>
    <cfRule type="expression" dxfId="1132" priority="38">
      <formula>G30&gt;65</formula>
    </cfRule>
  </conditionalFormatting>
  <conditionalFormatting sqref="G32">
    <cfRule type="expression" dxfId="1131" priority="35">
      <formula>G32&lt;55</formula>
    </cfRule>
    <cfRule type="expression" dxfId="1130" priority="36">
      <formula>G32&gt;65</formula>
    </cfRule>
  </conditionalFormatting>
  <conditionalFormatting sqref="G31">
    <cfRule type="expression" dxfId="1129" priority="33">
      <formula>G31&lt;42</formula>
    </cfRule>
    <cfRule type="expression" dxfId="1128" priority="34">
      <formula>G31&gt;47</formula>
    </cfRule>
  </conditionalFormatting>
  <conditionalFormatting sqref="I30">
    <cfRule type="expression" dxfId="1127" priority="29">
      <formula>I30&lt;55</formula>
    </cfRule>
    <cfRule type="expression" dxfId="1126" priority="30">
      <formula>I30&gt;65</formula>
    </cfRule>
  </conditionalFormatting>
  <conditionalFormatting sqref="I32">
    <cfRule type="expression" dxfId="1125" priority="27">
      <formula>I32&lt;55</formula>
    </cfRule>
    <cfRule type="expression" dxfId="1124" priority="28">
      <formula>I32&gt;65</formula>
    </cfRule>
  </conditionalFormatting>
  <conditionalFormatting sqref="I31">
    <cfRule type="expression" dxfId="1123" priority="25">
      <formula>I31&lt;42</formula>
    </cfRule>
    <cfRule type="expression" dxfId="1122" priority="26">
      <formula>I31&gt;47</formula>
    </cfRule>
  </conditionalFormatting>
  <conditionalFormatting sqref="K30">
    <cfRule type="expression" dxfId="1121" priority="21">
      <formula>K30&lt;55</formula>
    </cfRule>
    <cfRule type="expression" dxfId="1120" priority="22">
      <formula>K30&gt;65</formula>
    </cfRule>
  </conditionalFormatting>
  <conditionalFormatting sqref="K32">
    <cfRule type="expression" dxfId="1119" priority="19">
      <formula>K32&lt;55</formula>
    </cfRule>
    <cfRule type="expression" dxfId="1118" priority="20">
      <formula>K32&gt;65</formula>
    </cfRule>
  </conditionalFormatting>
  <conditionalFormatting sqref="K31">
    <cfRule type="expression" dxfId="1117" priority="17">
      <formula>K31&lt;42</formula>
    </cfRule>
    <cfRule type="expression" dxfId="1116" priority="18">
      <formula>K31&gt;47</formula>
    </cfRule>
  </conditionalFormatting>
  <conditionalFormatting sqref="E29">
    <cfRule type="expression" dxfId="1115" priority="7">
      <formula>E29&lt;45</formula>
    </cfRule>
    <cfRule type="expression" dxfId="1114" priority="8">
      <formula>E29&gt;60</formula>
    </cfRule>
  </conditionalFormatting>
  <conditionalFormatting sqref="G29">
    <cfRule type="expression" dxfId="1113" priority="5">
      <formula>G29&lt;45</formula>
    </cfRule>
    <cfRule type="expression" dxfId="1112" priority="6">
      <formula>G29&gt;60</formula>
    </cfRule>
  </conditionalFormatting>
  <conditionalFormatting sqref="I29">
    <cfRule type="expression" dxfId="1111" priority="3">
      <formula>I29&lt;45</formula>
    </cfRule>
    <cfRule type="expression" dxfId="1110" priority="4">
      <formula>I29&gt;60</formula>
    </cfRule>
  </conditionalFormatting>
  <conditionalFormatting sqref="K29">
    <cfRule type="expression" dxfId="1109" priority="1">
      <formula>K29&lt;45</formula>
    </cfRule>
    <cfRule type="expression" dxfId="1108"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7">
    <tabColor rgb="FFFF0000"/>
  </sheetPr>
  <dimension ref="A1:AG34"/>
  <sheetViews>
    <sheetView zoomScale="55" zoomScaleNormal="55" workbookViewId="0">
      <selection activeCell="AI9" sqref="AI9"/>
    </sheetView>
  </sheetViews>
  <sheetFormatPr defaultRowHeight="15"/>
  <cols>
    <col min="1" max="1" width="6.625" style="244" customWidth="1"/>
    <col min="2" max="2" width="8.875" style="598" customWidth="1"/>
    <col min="3" max="3" width="6.125" style="598" customWidth="1"/>
    <col min="4" max="4" width="2.875" style="598" customWidth="1"/>
    <col min="5" max="5" width="11.25" style="598" customWidth="1"/>
    <col min="6" max="6" width="9.25" style="244" customWidth="1"/>
    <col min="7" max="7" width="17" style="599" customWidth="1"/>
    <col min="8" max="8" width="12.875" style="244" customWidth="1"/>
    <col min="9" max="9" width="3.75" style="244" customWidth="1"/>
    <col min="10" max="10" width="7.875" style="244" customWidth="1"/>
    <col min="11" max="11" width="3.75" style="244" customWidth="1"/>
    <col min="12" max="12" width="12.875" style="244" customWidth="1"/>
    <col min="13" max="13" width="5" style="244" customWidth="1"/>
    <col min="14" max="14" width="8.5" style="244" customWidth="1"/>
    <col min="15" max="15" width="4.875" style="244" customWidth="1"/>
    <col min="16" max="16" width="15.625" style="244" customWidth="1"/>
    <col min="17" max="17" width="4.125" style="244" customWidth="1"/>
    <col min="18" max="18" width="7.25" style="244" hidden="1" customWidth="1"/>
    <col min="19" max="19" width="0" style="244" hidden="1" customWidth="1"/>
    <col min="20" max="20" width="3.75" style="244" hidden="1" customWidth="1"/>
    <col min="21" max="21" width="2.875" style="244" hidden="1" customWidth="1"/>
    <col min="22" max="22" width="10.25" style="244" hidden="1" customWidth="1"/>
    <col min="23" max="23" width="0" style="244" hidden="1" customWidth="1"/>
    <col min="24" max="24" width="16.25" style="244" hidden="1" customWidth="1"/>
    <col min="25" max="25" width="15.25" style="244" hidden="1" customWidth="1"/>
    <col min="26" max="26" width="4.625" style="244" hidden="1" customWidth="1"/>
    <col min="27" max="27" width="8.125" style="244" hidden="1" customWidth="1"/>
    <col min="28" max="28" width="4.75" style="244" hidden="1" customWidth="1"/>
    <col min="29" max="29" width="14.25" style="244" hidden="1" customWidth="1"/>
    <col min="30" max="30" width="4.125" style="244" hidden="1" customWidth="1"/>
    <col min="31" max="31" width="7.5" style="244" hidden="1" customWidth="1"/>
    <col min="32" max="32" width="4.5" style="244" hidden="1" customWidth="1"/>
    <col min="33" max="33" width="13.875" style="244" hidden="1" customWidth="1"/>
    <col min="34" max="16384" width="9" style="244"/>
  </cols>
  <sheetData>
    <row r="1" spans="1:33" ht="36" customHeight="1">
      <c r="A1" s="3767" t="s">
        <v>564</v>
      </c>
      <c r="B1" s="3767"/>
      <c r="C1" s="3767"/>
      <c r="D1" s="3767"/>
      <c r="E1" s="3767"/>
      <c r="F1" s="3767"/>
      <c r="G1" s="3767"/>
      <c r="H1" s="3767"/>
      <c r="I1" s="3767"/>
      <c r="J1" s="3767"/>
      <c r="K1" s="575"/>
      <c r="L1" s="576"/>
      <c r="M1" s="576"/>
      <c r="N1" s="575"/>
      <c r="O1" s="575"/>
      <c r="P1" s="575"/>
      <c r="R1" s="3767" t="s">
        <v>564</v>
      </c>
      <c r="S1" s="3767"/>
      <c r="T1" s="3767"/>
      <c r="U1" s="3767"/>
      <c r="V1" s="3767"/>
      <c r="W1" s="3767"/>
      <c r="X1" s="3767"/>
      <c r="Y1" s="3767"/>
      <c r="Z1" s="3767"/>
      <c r="AA1" s="3767"/>
      <c r="AB1" s="575"/>
      <c r="AC1" s="2338"/>
      <c r="AD1" s="2338"/>
      <c r="AE1" s="575"/>
      <c r="AF1" s="575"/>
      <c r="AG1" s="575"/>
    </row>
    <row r="2" spans="1:33" ht="56.25" customHeight="1">
      <c r="A2" s="3768" t="s">
        <v>715</v>
      </c>
      <c r="B2" s="3768"/>
      <c r="C2" s="3768"/>
      <c r="D2" s="3768"/>
      <c r="E2" s="3768"/>
      <c r="F2" s="3768"/>
      <c r="G2" s="3768"/>
      <c r="H2" s="3768"/>
      <c r="I2" s="3768"/>
      <c r="J2" s="3768"/>
      <c r="K2" s="3768"/>
      <c r="L2" s="3768"/>
      <c r="M2" s="3769"/>
      <c r="N2" s="3278" t="s">
        <v>87</v>
      </c>
      <c r="O2" s="3169"/>
      <c r="P2" s="577" t="s">
        <v>88</v>
      </c>
      <c r="R2" s="3768" t="s">
        <v>715</v>
      </c>
      <c r="S2" s="3768"/>
      <c r="T2" s="3768"/>
      <c r="U2" s="3768"/>
      <c r="V2" s="3768"/>
      <c r="W2" s="3768"/>
      <c r="X2" s="3768"/>
      <c r="Y2" s="3768"/>
      <c r="Z2" s="3768"/>
      <c r="AA2" s="3768"/>
      <c r="AB2" s="3768"/>
      <c r="AC2" s="3768"/>
      <c r="AD2" s="3769"/>
      <c r="AE2" s="3278" t="s">
        <v>87</v>
      </c>
      <c r="AF2" s="3169"/>
      <c r="AG2" s="2329" t="s">
        <v>88</v>
      </c>
    </row>
    <row r="3" spans="1:33" ht="38.25" customHeight="1">
      <c r="A3" s="578"/>
      <c r="B3" s="579"/>
      <c r="C3" s="580"/>
      <c r="D3" s="580"/>
      <c r="E3" s="2377"/>
      <c r="F3" s="1991" t="str">
        <f>MENU!$AC$9</f>
        <v>Thứ 5,</v>
      </c>
      <c r="G3" s="1815" t="str">
        <f>MENU!$AD$9</f>
        <v>2024/08/01</v>
      </c>
      <c r="H3" s="582"/>
      <c r="I3" s="582"/>
      <c r="J3" s="582"/>
      <c r="K3" s="582"/>
      <c r="L3" s="582"/>
      <c r="M3" s="582"/>
      <c r="N3" s="3782" t="str">
        <f>'1.xi den'!$R$3</f>
        <v>L.Yen</v>
      </c>
      <c r="O3" s="3783"/>
      <c r="P3" s="583" t="s">
        <v>11</v>
      </c>
      <c r="R3" s="578"/>
      <c r="S3" s="579"/>
      <c r="T3" s="580"/>
      <c r="U3" s="2377"/>
      <c r="V3" s="2377" t="s">
        <v>1565</v>
      </c>
      <c r="W3" s="1991" t="str">
        <f>MENU!$AC$9</f>
        <v>Thứ 5,</v>
      </c>
      <c r="X3" s="1815" t="str">
        <f>MENU!$AD$9</f>
        <v>2024/08/01</v>
      </c>
      <c r="Y3" s="582"/>
      <c r="Z3" s="582"/>
      <c r="AA3" s="582"/>
      <c r="AB3" s="582"/>
      <c r="AC3" s="582"/>
      <c r="AD3" s="582"/>
      <c r="AE3" s="3612" t="str">
        <f>MENU!$AE$7</f>
        <v>Trang</v>
      </c>
      <c r="AF3" s="3613"/>
      <c r="AG3" s="583" t="s">
        <v>11</v>
      </c>
    </row>
    <row r="4" spans="1:33" s="584" customFormat="1" ht="43.5" customHeight="1">
      <c r="A4" s="3770" t="s">
        <v>7</v>
      </c>
      <c r="B4" s="3771" t="s">
        <v>75</v>
      </c>
      <c r="C4" s="3772"/>
      <c r="D4" s="3772"/>
      <c r="E4" s="3773"/>
      <c r="F4" s="3760" t="s">
        <v>92</v>
      </c>
      <c r="G4" s="3780" t="s">
        <v>63</v>
      </c>
      <c r="H4" s="2380" t="s">
        <v>716</v>
      </c>
      <c r="I4" s="2381"/>
      <c r="J4" s="2381"/>
      <c r="K4" s="2381"/>
      <c r="L4" s="2381"/>
      <c r="M4" s="2381"/>
      <c r="N4" s="2381"/>
      <c r="O4" s="2382"/>
      <c r="P4" s="3756" t="s">
        <v>89</v>
      </c>
      <c r="R4" s="3770" t="s">
        <v>7</v>
      </c>
      <c r="S4" s="3771" t="s">
        <v>75</v>
      </c>
      <c r="T4" s="3772"/>
      <c r="U4" s="3772"/>
      <c r="V4" s="3773"/>
      <c r="W4" s="3760" t="s">
        <v>92</v>
      </c>
      <c r="X4" s="3780" t="s">
        <v>63</v>
      </c>
      <c r="Y4" s="2380" t="s">
        <v>716</v>
      </c>
      <c r="Z4" s="2381"/>
      <c r="AA4" s="2381"/>
      <c r="AB4" s="2381"/>
      <c r="AC4" s="2381"/>
      <c r="AD4" s="2381"/>
      <c r="AE4" s="2381"/>
      <c r="AF4" s="2382"/>
      <c r="AG4" s="3756" t="s">
        <v>89</v>
      </c>
    </row>
    <row r="5" spans="1:33" s="584" customFormat="1" ht="43.5" customHeight="1">
      <c r="A5" s="3770"/>
      <c r="B5" s="3774"/>
      <c r="C5" s="3775"/>
      <c r="D5" s="3775"/>
      <c r="E5" s="3776"/>
      <c r="F5" s="3760"/>
      <c r="G5" s="3780"/>
      <c r="H5" s="3759">
        <v>0.375</v>
      </c>
      <c r="I5" s="3760"/>
      <c r="J5" s="3760"/>
      <c r="K5" s="3760"/>
      <c r="L5" s="3759">
        <v>0.875</v>
      </c>
      <c r="M5" s="3760"/>
      <c r="N5" s="3760"/>
      <c r="O5" s="3760"/>
      <c r="P5" s="3757"/>
      <c r="R5" s="3770"/>
      <c r="S5" s="3774"/>
      <c r="T5" s="3775"/>
      <c r="U5" s="3775"/>
      <c r="V5" s="3776"/>
      <c r="W5" s="3760"/>
      <c r="X5" s="3780"/>
      <c r="Y5" s="3759">
        <v>0.875</v>
      </c>
      <c r="Z5" s="3760"/>
      <c r="AA5" s="3760"/>
      <c r="AB5" s="3760"/>
      <c r="AC5" s="3761">
        <v>0.125</v>
      </c>
      <c r="AD5" s="3762"/>
      <c r="AE5" s="3762"/>
      <c r="AF5" s="3763"/>
      <c r="AG5" s="3757"/>
    </row>
    <row r="6" spans="1:33" s="584" customFormat="1" ht="43.5" customHeight="1">
      <c r="A6" s="3770"/>
      <c r="B6" s="3777"/>
      <c r="C6" s="3778"/>
      <c r="D6" s="3778"/>
      <c r="E6" s="3779"/>
      <c r="F6" s="3770"/>
      <c r="G6" s="3781"/>
      <c r="H6" s="585" t="s">
        <v>567</v>
      </c>
      <c r="I6" s="3760" t="s">
        <v>1</v>
      </c>
      <c r="J6" s="3760"/>
      <c r="K6" s="3760"/>
      <c r="L6" s="585" t="s">
        <v>567</v>
      </c>
      <c r="M6" s="3764" t="s">
        <v>1</v>
      </c>
      <c r="N6" s="3765"/>
      <c r="O6" s="3766"/>
      <c r="P6" s="3758"/>
      <c r="R6" s="3770"/>
      <c r="S6" s="3777"/>
      <c r="T6" s="3778"/>
      <c r="U6" s="3778"/>
      <c r="V6" s="3779"/>
      <c r="W6" s="3770"/>
      <c r="X6" s="3781"/>
      <c r="Y6" s="585" t="s">
        <v>567</v>
      </c>
      <c r="Z6" s="3760" t="s">
        <v>1</v>
      </c>
      <c r="AA6" s="3760"/>
      <c r="AB6" s="3760"/>
      <c r="AC6" s="585" t="s">
        <v>567</v>
      </c>
      <c r="AD6" s="3764" t="s">
        <v>1</v>
      </c>
      <c r="AE6" s="3765"/>
      <c r="AF6" s="3766"/>
      <c r="AG6" s="3758"/>
    </row>
    <row r="7" spans="1:33" ht="43.5" customHeight="1">
      <c r="A7" s="2330">
        <v>1</v>
      </c>
      <c r="B7" s="3256" t="s">
        <v>853</v>
      </c>
      <c r="C7" s="3369"/>
      <c r="D7" s="3369" t="s">
        <v>99</v>
      </c>
      <c r="E7" s="3257"/>
      <c r="F7" s="44" t="s">
        <v>4</v>
      </c>
      <c r="G7" s="101" t="s">
        <v>472</v>
      </c>
      <c r="H7" s="300">
        <f>'R.GUI MAIL'!H57</f>
        <v>20.3</v>
      </c>
      <c r="I7" s="58" t="s">
        <v>8</v>
      </c>
      <c r="J7" s="586">
        <f>'R.GUI MAIL'!K57</f>
        <v>0</v>
      </c>
      <c r="K7" s="587" t="s">
        <v>9</v>
      </c>
      <c r="L7" s="300">
        <f>'R.GUI MAIL'!N57</f>
        <v>0</v>
      </c>
      <c r="M7" s="58" t="s">
        <v>8</v>
      </c>
      <c r="N7" s="586">
        <f>'R.GUI MAIL'!Q57</f>
        <v>0</v>
      </c>
      <c r="O7" s="587" t="s">
        <v>9</v>
      </c>
      <c r="P7" s="588"/>
      <c r="R7" s="2330">
        <v>1</v>
      </c>
      <c r="S7" s="3256" t="s">
        <v>853</v>
      </c>
      <c r="T7" s="3369"/>
      <c r="U7" s="3369" t="s">
        <v>99</v>
      </c>
      <c r="V7" s="3257"/>
      <c r="W7" s="2332" t="s">
        <v>4</v>
      </c>
      <c r="X7" s="101" t="s">
        <v>472</v>
      </c>
      <c r="Y7" s="300">
        <f>'R.GUI MAIL'!T57</f>
        <v>0</v>
      </c>
      <c r="Z7" s="58" t="s">
        <v>8</v>
      </c>
      <c r="AA7" s="586">
        <f>'R.GUI MAIL'!W57</f>
        <v>0</v>
      </c>
      <c r="AB7" s="587" t="s">
        <v>9</v>
      </c>
      <c r="AC7" s="300">
        <f>'R.GUI MAIL'!Z57</f>
        <v>0</v>
      </c>
      <c r="AD7" s="58" t="s">
        <v>8</v>
      </c>
      <c r="AE7" s="586">
        <f>'R.GUI MAIL'!AC57</f>
        <v>0</v>
      </c>
      <c r="AF7" s="587" t="s">
        <v>9</v>
      </c>
      <c r="AG7" s="588"/>
    </row>
    <row r="8" spans="1:33" ht="43.5" customHeight="1">
      <c r="A8" s="2330">
        <v>2</v>
      </c>
      <c r="B8" s="3256" t="s">
        <v>854</v>
      </c>
      <c r="C8" s="3369" t="s">
        <v>475</v>
      </c>
      <c r="D8" s="3369" t="s">
        <v>475</v>
      </c>
      <c r="E8" s="3257" t="s">
        <v>475</v>
      </c>
      <c r="F8" s="44" t="s">
        <v>4</v>
      </c>
      <c r="G8" s="1830" t="s">
        <v>1495</v>
      </c>
      <c r="H8" s="1398">
        <f>'R.GUI MAIL'!H58</f>
        <v>55.814</v>
      </c>
      <c r="I8" s="58" t="s">
        <v>8</v>
      </c>
      <c r="J8" s="586">
        <f>'R.GUI MAIL'!K58</f>
        <v>0</v>
      </c>
      <c r="K8" s="587" t="s">
        <v>9</v>
      </c>
      <c r="L8" s="1398">
        <f>'R.GUI MAIL'!N58</f>
        <v>0</v>
      </c>
      <c r="M8" s="58" t="s">
        <v>8</v>
      </c>
      <c r="N8" s="586">
        <f>'R.GUI MAIL'!Q58</f>
        <v>0</v>
      </c>
      <c r="O8" s="587" t="s">
        <v>9</v>
      </c>
      <c r="P8" s="405"/>
      <c r="R8" s="2330">
        <v>2</v>
      </c>
      <c r="S8" s="3256" t="s">
        <v>854</v>
      </c>
      <c r="T8" s="3369" t="s">
        <v>475</v>
      </c>
      <c r="U8" s="3369" t="s">
        <v>475</v>
      </c>
      <c r="V8" s="3257" t="s">
        <v>475</v>
      </c>
      <c r="W8" s="2332" t="s">
        <v>4</v>
      </c>
      <c r="X8" s="1830" t="s">
        <v>1495</v>
      </c>
      <c r="Y8" s="1398">
        <f>'R.GUI MAIL'!T58</f>
        <v>0</v>
      </c>
      <c r="Z8" s="58" t="s">
        <v>8</v>
      </c>
      <c r="AA8" s="586">
        <f>'R.GUI MAIL'!W58</f>
        <v>0</v>
      </c>
      <c r="AB8" s="587" t="s">
        <v>9</v>
      </c>
      <c r="AC8" s="1398">
        <f>'R.GUI MAIL'!Z58</f>
        <v>0</v>
      </c>
      <c r="AD8" s="58" t="s">
        <v>8</v>
      </c>
      <c r="AE8" s="586">
        <f>'R.GUI MAIL'!AC58</f>
        <v>0</v>
      </c>
      <c r="AF8" s="587" t="s">
        <v>9</v>
      </c>
      <c r="AG8" s="405"/>
    </row>
    <row r="9" spans="1:33" ht="43.5" customHeight="1">
      <c r="A9" s="2330">
        <v>3</v>
      </c>
      <c r="B9" s="3256" t="s">
        <v>855</v>
      </c>
      <c r="C9" s="3369" t="s">
        <v>571</v>
      </c>
      <c r="D9" s="3369" t="s">
        <v>571</v>
      </c>
      <c r="E9" s="3257" t="s">
        <v>571</v>
      </c>
      <c r="F9" s="44" t="s">
        <v>4</v>
      </c>
      <c r="G9" s="1830" t="s">
        <v>1495</v>
      </c>
      <c r="H9" s="1398">
        <f>'R.GUI MAIL'!H59</f>
        <v>56.462999999999994</v>
      </c>
      <c r="I9" s="58" t="s">
        <v>8</v>
      </c>
      <c r="J9" s="586">
        <f>'R.GUI MAIL'!K59</f>
        <v>0</v>
      </c>
      <c r="K9" s="587" t="s">
        <v>10</v>
      </c>
      <c r="L9" s="1398">
        <f>'R.GUI MAIL'!N59</f>
        <v>0</v>
      </c>
      <c r="M9" s="58" t="s">
        <v>8</v>
      </c>
      <c r="N9" s="586">
        <f>'R.GUI MAIL'!Q59</f>
        <v>0</v>
      </c>
      <c r="O9" s="587" t="s">
        <v>10</v>
      </c>
      <c r="P9" s="405"/>
      <c r="R9" s="2330">
        <v>3</v>
      </c>
      <c r="S9" s="3256" t="s">
        <v>855</v>
      </c>
      <c r="T9" s="3369" t="s">
        <v>571</v>
      </c>
      <c r="U9" s="3369" t="s">
        <v>571</v>
      </c>
      <c r="V9" s="3257" t="s">
        <v>571</v>
      </c>
      <c r="W9" s="2332" t="s">
        <v>4</v>
      </c>
      <c r="X9" s="1830" t="s">
        <v>1495</v>
      </c>
      <c r="Y9" s="1398">
        <f>'R.GUI MAIL'!T59</f>
        <v>0</v>
      </c>
      <c r="Z9" s="58" t="s">
        <v>8</v>
      </c>
      <c r="AA9" s="586">
        <f>'R.GUI MAIL'!W59</f>
        <v>0</v>
      </c>
      <c r="AB9" s="587" t="s">
        <v>10</v>
      </c>
      <c r="AC9" s="1398">
        <f>'R.GUI MAIL'!Z59</f>
        <v>0</v>
      </c>
      <c r="AD9" s="58" t="s">
        <v>8</v>
      </c>
      <c r="AE9" s="586">
        <f>'R.GUI MAIL'!AC59</f>
        <v>0</v>
      </c>
      <c r="AF9" s="587" t="s">
        <v>10</v>
      </c>
      <c r="AG9" s="405"/>
    </row>
    <row r="10" spans="1:33" ht="43.5" hidden="1" customHeight="1">
      <c r="A10" s="2330">
        <v>4</v>
      </c>
      <c r="B10" s="3134" t="s">
        <v>572</v>
      </c>
      <c r="C10" s="3135" t="s">
        <v>573</v>
      </c>
      <c r="D10" s="3135" t="s">
        <v>573</v>
      </c>
      <c r="E10" s="3136" t="s">
        <v>573</v>
      </c>
      <c r="F10" s="42" t="s">
        <v>429</v>
      </c>
      <c r="G10" s="47" t="s">
        <v>965</v>
      </c>
      <c r="H10" s="300">
        <f>'R.GUI MAIL'!H60</f>
        <v>0</v>
      </c>
      <c r="I10" s="58" t="s">
        <v>8</v>
      </c>
      <c r="J10" s="586">
        <f>'R.GUI MAIL'!K60</f>
        <v>124.63199999999999</v>
      </c>
      <c r="K10" s="587" t="s">
        <v>9</v>
      </c>
      <c r="L10" s="300">
        <f>'R.GUI MAIL'!N60</f>
        <v>0</v>
      </c>
      <c r="M10" s="58" t="s">
        <v>8</v>
      </c>
      <c r="N10" s="586">
        <f>'R.GUI MAIL'!Q60</f>
        <v>124.63199999999999</v>
      </c>
      <c r="O10" s="587" t="s">
        <v>9</v>
      </c>
      <c r="P10" s="588"/>
      <c r="R10" s="2330">
        <v>4</v>
      </c>
      <c r="S10" s="3134" t="s">
        <v>572</v>
      </c>
      <c r="T10" s="3135" t="s">
        <v>573</v>
      </c>
      <c r="U10" s="3135" t="s">
        <v>573</v>
      </c>
      <c r="V10" s="3136" t="s">
        <v>573</v>
      </c>
      <c r="W10" s="1065" t="s">
        <v>429</v>
      </c>
      <c r="X10" s="47" t="s">
        <v>965</v>
      </c>
      <c r="Y10" s="300">
        <f>'R.GUI MAIL'!T60</f>
        <v>0</v>
      </c>
      <c r="Z10" s="58" t="s">
        <v>8</v>
      </c>
      <c r="AA10" s="586">
        <f>'R.GUI MAIL'!W60</f>
        <v>124.63199999999999</v>
      </c>
      <c r="AB10" s="587" t="s">
        <v>9</v>
      </c>
      <c r="AC10" s="300">
        <f>'R.GUI MAIL'!Z60</f>
        <v>0</v>
      </c>
      <c r="AD10" s="58" t="s">
        <v>8</v>
      </c>
      <c r="AE10" s="586">
        <f>'R.GUI MAIL'!AC60</f>
        <v>124.63199999999999</v>
      </c>
      <c r="AF10" s="587" t="s">
        <v>9</v>
      </c>
      <c r="AG10" s="588"/>
    </row>
    <row r="11" spans="1:33" ht="43.5" customHeight="1">
      <c r="A11" s="2330">
        <v>5</v>
      </c>
      <c r="B11" s="3744" t="s">
        <v>574</v>
      </c>
      <c r="C11" s="3745" t="s">
        <v>575</v>
      </c>
      <c r="D11" s="3745" t="s">
        <v>575</v>
      </c>
      <c r="E11" s="3746" t="s">
        <v>575</v>
      </c>
      <c r="F11" s="42" t="s">
        <v>429</v>
      </c>
      <c r="G11" s="47" t="s">
        <v>482</v>
      </c>
      <c r="H11" s="412">
        <f>'R.GUI MAIL'!H61</f>
        <v>1.2</v>
      </c>
      <c r="I11" s="58" t="s">
        <v>8</v>
      </c>
      <c r="J11" s="586">
        <f>'R.GUI MAIL'!K61</f>
        <v>0</v>
      </c>
      <c r="K11" s="587" t="s">
        <v>9</v>
      </c>
      <c r="L11" s="412">
        <f>'R.GUI MAIL'!N61</f>
        <v>0</v>
      </c>
      <c r="M11" s="58" t="s">
        <v>8</v>
      </c>
      <c r="N11" s="586">
        <f>'R.GUI MAIL'!Q61</f>
        <v>0</v>
      </c>
      <c r="O11" s="587" t="s">
        <v>9</v>
      </c>
      <c r="P11" s="405"/>
      <c r="R11" s="2330">
        <v>5</v>
      </c>
      <c r="S11" s="3744" t="s">
        <v>574</v>
      </c>
      <c r="T11" s="3745" t="s">
        <v>575</v>
      </c>
      <c r="U11" s="3745" t="s">
        <v>575</v>
      </c>
      <c r="V11" s="3746" t="s">
        <v>575</v>
      </c>
      <c r="W11" s="1065" t="s">
        <v>429</v>
      </c>
      <c r="X11" s="47" t="s">
        <v>482</v>
      </c>
      <c r="Y11" s="412">
        <f>'R.GUI MAIL'!T61</f>
        <v>0</v>
      </c>
      <c r="Z11" s="58" t="s">
        <v>8</v>
      </c>
      <c r="AA11" s="586">
        <f>'R.GUI MAIL'!W61</f>
        <v>0</v>
      </c>
      <c r="AB11" s="587" t="s">
        <v>9</v>
      </c>
      <c r="AC11" s="412">
        <f>'R.GUI MAIL'!Z61</f>
        <v>0</v>
      </c>
      <c r="AD11" s="58" t="s">
        <v>8</v>
      </c>
      <c r="AE11" s="586">
        <f>'R.GUI MAIL'!AC61</f>
        <v>0</v>
      </c>
      <c r="AF11" s="587" t="s">
        <v>9</v>
      </c>
      <c r="AG11" s="405"/>
    </row>
    <row r="12" spans="1:33" ht="43.5" customHeight="1">
      <c r="A12" s="2330">
        <v>6</v>
      </c>
      <c r="B12" s="3750" t="s">
        <v>576</v>
      </c>
      <c r="C12" s="3751" t="s">
        <v>577</v>
      </c>
      <c r="D12" s="3751" t="s">
        <v>577</v>
      </c>
      <c r="E12" s="3752" t="s">
        <v>577</v>
      </c>
      <c r="F12" s="420" t="s">
        <v>429</v>
      </c>
      <c r="G12" s="1312" t="s">
        <v>485</v>
      </c>
      <c r="H12" s="1313">
        <f>'R.GUI MAIL'!H62</f>
        <v>23.5</v>
      </c>
      <c r="I12" s="1314" t="s">
        <v>8</v>
      </c>
      <c r="J12" s="1315">
        <f>'R.GUI MAIL'!K62</f>
        <v>0</v>
      </c>
      <c r="K12" s="1316" t="s">
        <v>9</v>
      </c>
      <c r="L12" s="1313">
        <f>'R.GUI MAIL'!N62</f>
        <v>0</v>
      </c>
      <c r="M12" s="1314" t="s">
        <v>8</v>
      </c>
      <c r="N12" s="1315">
        <f>'R.GUI MAIL'!Q62</f>
        <v>0</v>
      </c>
      <c r="O12" s="1316" t="s">
        <v>9</v>
      </c>
      <c r="P12" s="1317"/>
      <c r="R12" s="2330">
        <v>6</v>
      </c>
      <c r="S12" s="3750" t="s">
        <v>576</v>
      </c>
      <c r="T12" s="3751" t="s">
        <v>577</v>
      </c>
      <c r="U12" s="3751" t="s">
        <v>577</v>
      </c>
      <c r="V12" s="3752" t="s">
        <v>577</v>
      </c>
      <c r="W12" s="420" t="s">
        <v>429</v>
      </c>
      <c r="X12" s="1312" t="s">
        <v>485</v>
      </c>
      <c r="Y12" s="1313">
        <f>'R.GUI MAIL'!T62</f>
        <v>0</v>
      </c>
      <c r="Z12" s="1314" t="s">
        <v>8</v>
      </c>
      <c r="AA12" s="1315">
        <f>'R.GUI MAIL'!W62</f>
        <v>0</v>
      </c>
      <c r="AB12" s="1316" t="s">
        <v>9</v>
      </c>
      <c r="AC12" s="1313">
        <f>'R.GUI MAIL'!Z62</f>
        <v>0</v>
      </c>
      <c r="AD12" s="1314" t="s">
        <v>8</v>
      </c>
      <c r="AE12" s="1315">
        <f>'R.GUI MAIL'!AC62</f>
        <v>0</v>
      </c>
      <c r="AF12" s="1316" t="s">
        <v>9</v>
      </c>
      <c r="AG12" s="1317"/>
    </row>
    <row r="13" spans="1:33" ht="43.5" hidden="1" customHeight="1">
      <c r="A13" s="2376">
        <v>7</v>
      </c>
      <c r="B13" s="3753" t="s">
        <v>578</v>
      </c>
      <c r="C13" s="3754" t="s">
        <v>579</v>
      </c>
      <c r="D13" s="3754" t="s">
        <v>579</v>
      </c>
      <c r="E13" s="3755" t="s">
        <v>579</v>
      </c>
      <c r="F13" s="1318" t="s">
        <v>429</v>
      </c>
      <c r="G13" s="1319" t="s">
        <v>488</v>
      </c>
      <c r="H13" s="1320">
        <f>'R.GUI MAIL'!H63</f>
        <v>7.5</v>
      </c>
      <c r="I13" s="1321" t="s">
        <v>8</v>
      </c>
      <c r="J13" s="1322">
        <f>'R.GUI MAIL'!K63</f>
        <v>0</v>
      </c>
      <c r="K13" s="1323" t="s">
        <v>9</v>
      </c>
      <c r="L13" s="1320">
        <f>'R.GUI MAIL'!N63</f>
        <v>0</v>
      </c>
      <c r="M13" s="1321" t="s">
        <v>8</v>
      </c>
      <c r="N13" s="1322">
        <f>'R.GUI MAIL'!Q63</f>
        <v>0</v>
      </c>
      <c r="O13" s="1323" t="s">
        <v>9</v>
      </c>
      <c r="P13" s="1324"/>
      <c r="R13" s="2376">
        <v>7</v>
      </c>
      <c r="S13" s="3753" t="s">
        <v>578</v>
      </c>
      <c r="T13" s="3754" t="s">
        <v>579</v>
      </c>
      <c r="U13" s="3754" t="s">
        <v>579</v>
      </c>
      <c r="V13" s="3755" t="s">
        <v>579</v>
      </c>
      <c r="W13" s="1318" t="s">
        <v>429</v>
      </c>
      <c r="X13" s="1319" t="s">
        <v>488</v>
      </c>
      <c r="Y13" s="1320">
        <f>'R.GUI MAIL'!Y63</f>
        <v>0</v>
      </c>
      <c r="Z13" s="1321" t="s">
        <v>8</v>
      </c>
      <c r="AA13" s="1322" t="str">
        <f>'R.GUI MAIL'!AB63</f>
        <v>+</v>
      </c>
      <c r="AB13" s="1323" t="s">
        <v>9</v>
      </c>
      <c r="AC13" s="1320">
        <f>'R.GUI MAIL'!AE63</f>
        <v>0</v>
      </c>
      <c r="AD13" s="1321" t="s">
        <v>8</v>
      </c>
      <c r="AE13" s="1322">
        <f>'R.GUI MAIL'!AH63</f>
        <v>0</v>
      </c>
      <c r="AF13" s="1323" t="s">
        <v>9</v>
      </c>
      <c r="AG13" s="1324"/>
    </row>
    <row r="14" spans="1:33" ht="43.5" hidden="1" customHeight="1">
      <c r="A14" s="2342">
        <v>8</v>
      </c>
      <c r="B14" s="3134" t="s">
        <v>580</v>
      </c>
      <c r="C14" s="3135" t="s">
        <v>490</v>
      </c>
      <c r="D14" s="3135" t="s">
        <v>490</v>
      </c>
      <c r="E14" s="3136" t="s">
        <v>490</v>
      </c>
      <c r="F14" s="1065" t="s">
        <v>5</v>
      </c>
      <c r="G14" s="47" t="s">
        <v>491</v>
      </c>
      <c r="H14" s="300">
        <f>'R.GUI MAIL'!H64</f>
        <v>7.3</v>
      </c>
      <c r="I14" s="58"/>
      <c r="J14" s="586"/>
      <c r="K14" s="587"/>
      <c r="L14" s="300">
        <f>'R.GUI MAIL'!N64</f>
        <v>0</v>
      </c>
      <c r="M14" s="58"/>
      <c r="N14" s="586"/>
      <c r="O14" s="587"/>
      <c r="P14" s="405"/>
      <c r="R14" s="2342">
        <v>8</v>
      </c>
      <c r="S14" s="3134" t="s">
        <v>580</v>
      </c>
      <c r="T14" s="3135" t="s">
        <v>490</v>
      </c>
      <c r="U14" s="3135" t="s">
        <v>490</v>
      </c>
      <c r="V14" s="3136" t="s">
        <v>490</v>
      </c>
      <c r="W14" s="1065" t="s">
        <v>5</v>
      </c>
      <c r="X14" s="47" t="s">
        <v>491</v>
      </c>
      <c r="Y14" s="300">
        <f>'R.GUI MAIL'!Y64</f>
        <v>0</v>
      </c>
      <c r="Z14" s="58"/>
      <c r="AA14" s="586"/>
      <c r="AB14" s="587"/>
      <c r="AC14" s="300">
        <f>'R.GUI MAIL'!AE64</f>
        <v>0</v>
      </c>
      <c r="AD14" s="58"/>
      <c r="AE14" s="586"/>
      <c r="AF14" s="587"/>
      <c r="AG14" s="405"/>
    </row>
    <row r="15" spans="1:33" ht="43.5" hidden="1" customHeight="1">
      <c r="A15" s="2330">
        <v>9</v>
      </c>
      <c r="B15" s="3744" t="s">
        <v>581</v>
      </c>
      <c r="C15" s="3745" t="s">
        <v>579</v>
      </c>
      <c r="D15" s="3745" t="s">
        <v>579</v>
      </c>
      <c r="E15" s="3746" t="s">
        <v>579</v>
      </c>
      <c r="F15" s="42" t="s">
        <v>5</v>
      </c>
      <c r="G15" s="47" t="s">
        <v>494</v>
      </c>
      <c r="H15" s="589">
        <f>'R.GUI MAIL'!H65</f>
        <v>5.4</v>
      </c>
      <c r="I15" s="58"/>
      <c r="J15" s="586"/>
      <c r="K15" s="587"/>
      <c r="L15" s="589">
        <f>'R.GUI MAIL'!N65</f>
        <v>0</v>
      </c>
      <c r="M15" s="58"/>
      <c r="N15" s="586"/>
      <c r="O15" s="587"/>
      <c r="P15" s="405"/>
      <c r="R15" s="2330">
        <v>9</v>
      </c>
      <c r="S15" s="3744" t="s">
        <v>581</v>
      </c>
      <c r="T15" s="3745" t="s">
        <v>579</v>
      </c>
      <c r="U15" s="3745" t="s">
        <v>579</v>
      </c>
      <c r="V15" s="3746" t="s">
        <v>579</v>
      </c>
      <c r="W15" s="1065" t="s">
        <v>5</v>
      </c>
      <c r="X15" s="47" t="s">
        <v>494</v>
      </c>
      <c r="Y15" s="589">
        <f>'R.GUI MAIL'!Y65</f>
        <v>0</v>
      </c>
      <c r="Z15" s="58"/>
      <c r="AA15" s="586"/>
      <c r="AB15" s="587"/>
      <c r="AC15" s="589">
        <f>'R.GUI MAIL'!AE65</f>
        <v>0</v>
      </c>
      <c r="AD15" s="58"/>
      <c r="AE15" s="586"/>
      <c r="AF15" s="587"/>
      <c r="AG15" s="405"/>
    </row>
    <row r="16" spans="1:33" ht="43.5" hidden="1" customHeight="1">
      <c r="A16" s="2330">
        <v>10</v>
      </c>
      <c r="B16" s="3744" t="s">
        <v>582</v>
      </c>
      <c r="C16" s="3745" t="s">
        <v>579</v>
      </c>
      <c r="D16" s="3745" t="s">
        <v>579</v>
      </c>
      <c r="E16" s="3746" t="s">
        <v>579</v>
      </c>
      <c r="F16" s="42" t="s">
        <v>5</v>
      </c>
      <c r="G16" s="47" t="s">
        <v>494</v>
      </c>
      <c r="H16" s="590">
        <f>'R.GUI MAIL'!H66</f>
        <v>0</v>
      </c>
      <c r="I16" s="58"/>
      <c r="J16" s="586"/>
      <c r="K16" s="587"/>
      <c r="L16" s="590">
        <f>'R.GUI MAIL'!N66</f>
        <v>0</v>
      </c>
      <c r="M16" s="58"/>
      <c r="N16" s="586"/>
      <c r="O16" s="587"/>
      <c r="P16" s="405"/>
      <c r="R16" s="2330">
        <v>10</v>
      </c>
      <c r="S16" s="3744" t="s">
        <v>582</v>
      </c>
      <c r="T16" s="3745" t="s">
        <v>579</v>
      </c>
      <c r="U16" s="3745" t="s">
        <v>579</v>
      </c>
      <c r="V16" s="3746" t="s">
        <v>579</v>
      </c>
      <c r="W16" s="1065" t="s">
        <v>5</v>
      </c>
      <c r="X16" s="47" t="s">
        <v>494</v>
      </c>
      <c r="Y16" s="590">
        <f>'R.GUI MAIL'!Y66</f>
        <v>0</v>
      </c>
      <c r="Z16" s="58"/>
      <c r="AA16" s="586"/>
      <c r="AB16" s="587"/>
      <c r="AC16" s="590">
        <f>'R.GUI MAIL'!AE66</f>
        <v>0</v>
      </c>
      <c r="AD16" s="58"/>
      <c r="AE16" s="586"/>
      <c r="AF16" s="587"/>
      <c r="AG16" s="405"/>
    </row>
    <row r="17" spans="1:33" ht="43.5" hidden="1" customHeight="1">
      <c r="A17" s="2330">
        <v>11</v>
      </c>
      <c r="B17" s="3744" t="s">
        <v>371</v>
      </c>
      <c r="C17" s="3745"/>
      <c r="D17" s="3745"/>
      <c r="E17" s="3746"/>
      <c r="F17" s="42" t="s">
        <v>3</v>
      </c>
      <c r="G17" s="591" t="s">
        <v>372</v>
      </c>
      <c r="H17" s="592">
        <f>IFERROR('ED-XI DEN'!L15*100,"")</f>
        <v>15.035953785246829</v>
      </c>
      <c r="I17" s="58" t="s">
        <v>8</v>
      </c>
      <c r="J17" s="586">
        <f>'R.GUI MAIL'!K67</f>
        <v>0</v>
      </c>
      <c r="K17" s="587" t="s">
        <v>10</v>
      </c>
      <c r="L17" s="405" t="s">
        <v>966</v>
      </c>
      <c r="M17" s="58"/>
      <c r="N17" s="586"/>
      <c r="O17" s="587"/>
      <c r="P17" s="405"/>
      <c r="R17" s="2330">
        <v>11</v>
      </c>
      <c r="S17" s="3744" t="s">
        <v>371</v>
      </c>
      <c r="T17" s="3745"/>
      <c r="U17" s="3745"/>
      <c r="V17" s="3746"/>
      <c r="W17" s="1065" t="s">
        <v>3</v>
      </c>
      <c r="X17" s="591" t="s">
        <v>372</v>
      </c>
      <c r="Y17" s="592">
        <f>IFERROR('ED-XI DEN'!AC15*100,"")</f>
        <v>0</v>
      </c>
      <c r="Z17" s="58" t="s">
        <v>8</v>
      </c>
      <c r="AA17" s="586">
        <f>'R.GUI MAIL'!AB67</f>
        <v>0</v>
      </c>
      <c r="AB17" s="587" t="s">
        <v>10</v>
      </c>
      <c r="AC17" s="405" t="s">
        <v>966</v>
      </c>
      <c r="AD17" s="58"/>
      <c r="AE17" s="586"/>
      <c r="AF17" s="587"/>
      <c r="AG17" s="405"/>
    </row>
    <row r="18" spans="1:33" ht="43.5" hidden="1" customHeight="1">
      <c r="A18" s="2330">
        <v>12</v>
      </c>
      <c r="B18" s="3744" t="s">
        <v>373</v>
      </c>
      <c r="C18" s="3745"/>
      <c r="D18" s="3745"/>
      <c r="E18" s="3746"/>
      <c r="F18" s="42" t="s">
        <v>3</v>
      </c>
      <c r="G18" s="591" t="s">
        <v>374</v>
      </c>
      <c r="H18" s="592" t="str">
        <f>IFERROR('ED-XI DEN'!L16*100,"")</f>
        <v/>
      </c>
      <c r="I18" s="58" t="s">
        <v>8</v>
      </c>
      <c r="J18" s="586" t="str">
        <f>'R.GUI MAIL'!K68</f>
        <v/>
      </c>
      <c r="K18" s="587" t="s">
        <v>10</v>
      </c>
      <c r="L18" s="405" t="s">
        <v>966</v>
      </c>
      <c r="M18" s="58"/>
      <c r="N18" s="586"/>
      <c r="O18" s="587"/>
      <c r="P18" s="405"/>
      <c r="R18" s="2330">
        <v>12</v>
      </c>
      <c r="S18" s="3744" t="s">
        <v>373</v>
      </c>
      <c r="T18" s="3745"/>
      <c r="U18" s="3745"/>
      <c r="V18" s="3746"/>
      <c r="W18" s="1065" t="s">
        <v>3</v>
      </c>
      <c r="X18" s="591" t="s">
        <v>374</v>
      </c>
      <c r="Y18" s="592">
        <f>IFERROR('ED-XI DEN'!AC16*100,"")</f>
        <v>0</v>
      </c>
      <c r="Z18" s="58" t="s">
        <v>8</v>
      </c>
      <c r="AA18" s="586">
        <f>'R.GUI MAIL'!AB68</f>
        <v>0</v>
      </c>
      <c r="AB18" s="587" t="s">
        <v>10</v>
      </c>
      <c r="AC18" s="405" t="s">
        <v>966</v>
      </c>
      <c r="AD18" s="58"/>
      <c r="AE18" s="586"/>
      <c r="AF18" s="587"/>
      <c r="AG18" s="405"/>
    </row>
    <row r="19" spans="1:33" ht="43.5" hidden="1" customHeight="1">
      <c r="A19" s="2330">
        <v>13</v>
      </c>
      <c r="B19" s="3744" t="s">
        <v>375</v>
      </c>
      <c r="C19" s="3745"/>
      <c r="D19" s="3745"/>
      <c r="E19" s="3746"/>
      <c r="F19" s="42" t="s">
        <v>3</v>
      </c>
      <c r="G19" s="591" t="s">
        <v>372</v>
      </c>
      <c r="H19" s="593" t="str">
        <f>IFERROR('ED-XI DEN'!L17*100,"")</f>
        <v/>
      </c>
      <c r="I19" s="58"/>
      <c r="J19" s="586" t="str">
        <f>'R.GUI MAIL'!K69</f>
        <v/>
      </c>
      <c r="K19" s="587"/>
      <c r="L19" s="405" t="str">
        <f t="shared" ref="L19:L20" si="0">H19</f>
        <v/>
      </c>
      <c r="M19" s="58"/>
      <c r="N19" s="586" t="str">
        <f>J19</f>
        <v/>
      </c>
      <c r="O19" s="587"/>
      <c r="P19" s="405"/>
      <c r="R19" s="2330">
        <v>13</v>
      </c>
      <c r="S19" s="3744" t="s">
        <v>375</v>
      </c>
      <c r="T19" s="3745"/>
      <c r="U19" s="3745"/>
      <c r="V19" s="3746"/>
      <c r="W19" s="1065" t="s">
        <v>3</v>
      </c>
      <c r="X19" s="591" t="s">
        <v>372</v>
      </c>
      <c r="Y19" s="593">
        <f>IFERROR('ED-XI DEN'!AC17*100,"")</f>
        <v>0</v>
      </c>
      <c r="Z19" s="58"/>
      <c r="AA19" s="586">
        <f>'R.GUI MAIL'!AB69</f>
        <v>0</v>
      </c>
      <c r="AB19" s="587"/>
      <c r="AC19" s="405">
        <f t="shared" ref="AC19:AC20" si="1">Y19</f>
        <v>0</v>
      </c>
      <c r="AD19" s="58"/>
      <c r="AE19" s="586">
        <f>AA19</f>
        <v>0</v>
      </c>
      <c r="AF19" s="587"/>
      <c r="AG19" s="405"/>
    </row>
    <row r="20" spans="1:33" ht="43.5" hidden="1" customHeight="1">
      <c r="A20" s="2330">
        <v>14</v>
      </c>
      <c r="B20" s="3744" t="s">
        <v>376</v>
      </c>
      <c r="C20" s="3745"/>
      <c r="D20" s="3745"/>
      <c r="E20" s="3746"/>
      <c r="F20" s="42" t="s">
        <v>3</v>
      </c>
      <c r="G20" s="591" t="s">
        <v>374</v>
      </c>
      <c r="H20" s="593" t="str">
        <f>IFERROR('ED-XI DEN'!L18*100,"")</f>
        <v/>
      </c>
      <c r="I20" s="58"/>
      <c r="J20" s="586" t="str">
        <f>'R.GUI MAIL'!K70</f>
        <v/>
      </c>
      <c r="K20" s="587"/>
      <c r="L20" s="405" t="str">
        <f t="shared" si="0"/>
        <v/>
      </c>
      <c r="M20" s="58"/>
      <c r="N20" s="586" t="str">
        <f>J20</f>
        <v/>
      </c>
      <c r="O20" s="587"/>
      <c r="P20" s="405"/>
      <c r="R20" s="2330">
        <v>14</v>
      </c>
      <c r="S20" s="3744" t="s">
        <v>376</v>
      </c>
      <c r="T20" s="3745"/>
      <c r="U20" s="3745"/>
      <c r="V20" s="3746"/>
      <c r="W20" s="1065" t="s">
        <v>3</v>
      </c>
      <c r="X20" s="591" t="s">
        <v>374</v>
      </c>
      <c r="Y20" s="593">
        <f>IFERROR('ED-XI DEN'!AC18*100,"")</f>
        <v>0</v>
      </c>
      <c r="Z20" s="58"/>
      <c r="AA20" s="586">
        <f>'R.GUI MAIL'!AB70</f>
        <v>0</v>
      </c>
      <c r="AB20" s="587"/>
      <c r="AC20" s="405">
        <f t="shared" si="1"/>
        <v>0</v>
      </c>
      <c r="AD20" s="58"/>
      <c r="AE20" s="586">
        <f>AA20</f>
        <v>0</v>
      </c>
      <c r="AF20" s="587"/>
      <c r="AG20" s="405"/>
    </row>
    <row r="21" spans="1:33" ht="43.5" hidden="1" customHeight="1">
      <c r="A21" s="2330">
        <v>15</v>
      </c>
      <c r="B21" s="3744" t="s">
        <v>377</v>
      </c>
      <c r="C21" s="3745" t="s">
        <v>377</v>
      </c>
      <c r="D21" s="3745" t="s">
        <v>377</v>
      </c>
      <c r="E21" s="3746" t="s">
        <v>377</v>
      </c>
      <c r="F21" s="42" t="s">
        <v>3</v>
      </c>
      <c r="G21" s="47" t="s">
        <v>378</v>
      </c>
      <c r="H21" s="594">
        <f>IFERROR('ED-XI DEN'!L19*100,"")</f>
        <v>0.43407043407043394</v>
      </c>
      <c r="I21" s="58"/>
      <c r="J21" s="586"/>
      <c r="K21" s="587"/>
      <c r="L21" s="405" t="s">
        <v>966</v>
      </c>
      <c r="M21" s="58"/>
      <c r="N21" s="586"/>
      <c r="O21" s="587"/>
      <c r="P21" s="405"/>
      <c r="R21" s="2330">
        <v>15</v>
      </c>
      <c r="S21" s="3744" t="s">
        <v>377</v>
      </c>
      <c r="T21" s="3745" t="s">
        <v>377</v>
      </c>
      <c r="U21" s="3745" t="s">
        <v>377</v>
      </c>
      <c r="V21" s="3746" t="s">
        <v>377</v>
      </c>
      <c r="W21" s="1065" t="s">
        <v>3</v>
      </c>
      <c r="X21" s="47" t="s">
        <v>378</v>
      </c>
      <c r="Y21" s="594">
        <f>IFERROR('ED-XI DEN'!AC19*100,"")</f>
        <v>0</v>
      </c>
      <c r="Z21" s="58"/>
      <c r="AA21" s="586"/>
      <c r="AB21" s="587"/>
      <c r="AC21" s="405" t="s">
        <v>966</v>
      </c>
      <c r="AD21" s="58"/>
      <c r="AE21" s="586"/>
      <c r="AF21" s="587"/>
      <c r="AG21" s="405"/>
    </row>
    <row r="22" spans="1:33" ht="43.5" hidden="1" customHeight="1">
      <c r="A22" s="2330">
        <v>16</v>
      </c>
      <c r="B22" s="3744" t="s">
        <v>380</v>
      </c>
      <c r="C22" s="3745" t="s">
        <v>380</v>
      </c>
      <c r="D22" s="3745" t="s">
        <v>380</v>
      </c>
      <c r="E22" s="3746" t="s">
        <v>380</v>
      </c>
      <c r="F22" s="42" t="s">
        <v>3</v>
      </c>
      <c r="G22" s="47" t="s">
        <v>381</v>
      </c>
      <c r="H22" s="298">
        <f>IFERROR('ED-XI DEN'!L20*100,"")</f>
        <v>0.26837996096291455</v>
      </c>
      <c r="I22" s="58"/>
      <c r="J22" s="586"/>
      <c r="K22" s="587"/>
      <c r="L22" s="405" t="s">
        <v>966</v>
      </c>
      <c r="M22" s="58"/>
      <c r="N22" s="586"/>
      <c r="O22" s="587"/>
      <c r="P22" s="405"/>
      <c r="R22" s="2330">
        <v>16</v>
      </c>
      <c r="S22" s="3744" t="s">
        <v>380</v>
      </c>
      <c r="T22" s="3745" t="s">
        <v>380</v>
      </c>
      <c r="U22" s="3745" t="s">
        <v>380</v>
      </c>
      <c r="V22" s="3746" t="s">
        <v>380</v>
      </c>
      <c r="W22" s="1065" t="s">
        <v>3</v>
      </c>
      <c r="X22" s="47" t="s">
        <v>381</v>
      </c>
      <c r="Y22" s="298">
        <f>IFERROR('ED-XI DEN'!AC20*100,"")</f>
        <v>0</v>
      </c>
      <c r="Z22" s="58"/>
      <c r="AA22" s="586"/>
      <c r="AB22" s="587"/>
      <c r="AC22" s="405" t="s">
        <v>966</v>
      </c>
      <c r="AD22" s="58"/>
      <c r="AE22" s="586"/>
      <c r="AF22" s="587"/>
      <c r="AG22" s="405"/>
    </row>
    <row r="23" spans="1:33" ht="55.5" customHeight="1">
      <c r="A23" s="2342"/>
      <c r="B23" s="461"/>
      <c r="C23" s="462"/>
      <c r="D23" s="462"/>
      <c r="E23" s="462"/>
      <c r="F23" s="462"/>
      <c r="G23" s="462"/>
      <c r="H23" s="463" t="s">
        <v>108</v>
      </c>
      <c r="I23" s="462"/>
      <c r="J23" s="462"/>
      <c r="K23" s="462"/>
      <c r="L23" s="462"/>
      <c r="M23" s="462"/>
      <c r="N23" s="462"/>
      <c r="O23" s="462"/>
      <c r="P23" s="464"/>
      <c r="R23" s="2342"/>
      <c r="S23" s="461"/>
      <c r="T23" s="462"/>
      <c r="U23" s="462"/>
      <c r="V23" s="462"/>
      <c r="W23" s="462"/>
      <c r="X23" s="462"/>
      <c r="Y23" s="463" t="s">
        <v>108</v>
      </c>
      <c r="Z23" s="462"/>
      <c r="AA23" s="462"/>
      <c r="AB23" s="462"/>
      <c r="AC23" s="462"/>
      <c r="AD23" s="462"/>
      <c r="AE23" s="462"/>
      <c r="AF23" s="462"/>
      <c r="AG23" s="464"/>
    </row>
    <row r="24" spans="1:33" ht="43.5" customHeight="1">
      <c r="A24" s="2339" t="s">
        <v>7</v>
      </c>
      <c r="B24" s="3747" t="s">
        <v>60</v>
      </c>
      <c r="C24" s="3748"/>
      <c r="D24" s="3748"/>
      <c r="E24" s="3749"/>
      <c r="F24" s="595" t="s">
        <v>62</v>
      </c>
      <c r="G24" s="247" t="s">
        <v>63</v>
      </c>
      <c r="H24" s="596" t="s">
        <v>45</v>
      </c>
      <c r="I24" s="3202" t="s">
        <v>61</v>
      </c>
      <c r="J24" s="3214"/>
      <c r="K24" s="3214"/>
      <c r="L24" s="596" t="s">
        <v>45</v>
      </c>
      <c r="M24" s="3202" t="s">
        <v>61</v>
      </c>
      <c r="N24" s="3214"/>
      <c r="O24" s="3203"/>
      <c r="P24" s="597" t="s">
        <v>89</v>
      </c>
      <c r="R24" s="2339" t="s">
        <v>7</v>
      </c>
      <c r="S24" s="3747" t="s">
        <v>60</v>
      </c>
      <c r="T24" s="3748"/>
      <c r="U24" s="3748"/>
      <c r="V24" s="3749"/>
      <c r="W24" s="595" t="s">
        <v>62</v>
      </c>
      <c r="X24" s="2331" t="s">
        <v>63</v>
      </c>
      <c r="Y24" s="596" t="s">
        <v>45</v>
      </c>
      <c r="Z24" s="3202" t="s">
        <v>61</v>
      </c>
      <c r="AA24" s="3214"/>
      <c r="AB24" s="3214"/>
      <c r="AC24" s="596" t="s">
        <v>45</v>
      </c>
      <c r="AD24" s="3202" t="s">
        <v>61</v>
      </c>
      <c r="AE24" s="3214"/>
      <c r="AF24" s="3203"/>
      <c r="AG24" s="597" t="s">
        <v>89</v>
      </c>
    </row>
    <row r="25" spans="1:33" ht="43.5" customHeight="1">
      <c r="A25" s="2339">
        <v>1</v>
      </c>
      <c r="B25" s="3137" t="s">
        <v>471</v>
      </c>
      <c r="C25" s="3742"/>
      <c r="D25" s="3742"/>
      <c r="E25" s="3743"/>
      <c r="F25" s="246" t="s">
        <v>194</v>
      </c>
      <c r="G25" s="47" t="s">
        <v>717</v>
      </c>
      <c r="H25" s="2341">
        <f>'R.FILE GOC'!H75</f>
        <v>62</v>
      </c>
      <c r="I25" s="3591">
        <f>'R.GUI MAIL'!K75</f>
        <v>62</v>
      </c>
      <c r="J25" s="3592"/>
      <c r="K25" s="3593"/>
      <c r="L25" s="2341">
        <f>'R.FILE GOC'!N75</f>
        <v>0</v>
      </c>
      <c r="M25" s="3591">
        <f>'R.GUI MAIL'!Q75</f>
        <v>0</v>
      </c>
      <c r="N25" s="3592"/>
      <c r="O25" s="3593"/>
      <c r="P25" s="405"/>
      <c r="R25" s="2339">
        <v>1</v>
      </c>
      <c r="S25" s="3137" t="s">
        <v>471</v>
      </c>
      <c r="T25" s="3742"/>
      <c r="U25" s="3742"/>
      <c r="V25" s="3743"/>
      <c r="W25" s="246" t="s">
        <v>194</v>
      </c>
      <c r="X25" s="47" t="s">
        <v>717</v>
      </c>
      <c r="Y25" s="2341">
        <f>'R.FILE GOC'!T75</f>
        <v>0</v>
      </c>
      <c r="Z25" s="3591">
        <f>'R.GUI MAIL'!W75</f>
        <v>0</v>
      </c>
      <c r="AA25" s="3592"/>
      <c r="AB25" s="3593"/>
      <c r="AC25" s="2341">
        <f>'R.FILE GOC'!Z75</f>
        <v>0</v>
      </c>
      <c r="AD25" s="3591">
        <f>'R.GUI MAIL'!AC75</f>
        <v>0</v>
      </c>
      <c r="AE25" s="3592"/>
      <c r="AF25" s="3593"/>
      <c r="AG25" s="405"/>
    </row>
    <row r="26" spans="1:33" ht="43.5" customHeight="1">
      <c r="A26" s="2339">
        <v>2</v>
      </c>
      <c r="B26" s="3137" t="s">
        <v>475</v>
      </c>
      <c r="C26" s="3742" t="s">
        <v>475</v>
      </c>
      <c r="D26" s="3742" t="s">
        <v>475</v>
      </c>
      <c r="E26" s="3743" t="s">
        <v>475</v>
      </c>
      <c r="F26" s="246" t="s">
        <v>194</v>
      </c>
      <c r="G26" s="47" t="s">
        <v>717</v>
      </c>
      <c r="H26" s="2341">
        <f>'R.FILE GOC'!H76</f>
        <v>63</v>
      </c>
      <c r="I26" s="3591">
        <f>'R.GUI MAIL'!K76</f>
        <v>60</v>
      </c>
      <c r="J26" s="3592"/>
      <c r="K26" s="3593"/>
      <c r="L26" s="2341">
        <f>'R.FILE GOC'!N76</f>
        <v>0</v>
      </c>
      <c r="M26" s="3591">
        <f>'R.GUI MAIL'!Q76</f>
        <v>0</v>
      </c>
      <c r="N26" s="3592"/>
      <c r="O26" s="3593"/>
      <c r="P26" s="405"/>
      <c r="R26" s="2339">
        <v>2</v>
      </c>
      <c r="S26" s="3137" t="s">
        <v>475</v>
      </c>
      <c r="T26" s="3742" t="s">
        <v>475</v>
      </c>
      <c r="U26" s="3742" t="s">
        <v>475</v>
      </c>
      <c r="V26" s="3743" t="s">
        <v>475</v>
      </c>
      <c r="W26" s="246" t="s">
        <v>194</v>
      </c>
      <c r="X26" s="47" t="s">
        <v>717</v>
      </c>
      <c r="Y26" s="2341">
        <f>'R.FILE GOC'!T76</f>
        <v>0</v>
      </c>
      <c r="Z26" s="3591">
        <f>'R.GUI MAIL'!W76</f>
        <v>0</v>
      </c>
      <c r="AA26" s="3592"/>
      <c r="AB26" s="3593"/>
      <c r="AC26" s="2341">
        <f>'R.FILE GOC'!Z76</f>
        <v>0</v>
      </c>
      <c r="AD26" s="3591">
        <f>'R.GUI MAIL'!AC76</f>
        <v>0</v>
      </c>
      <c r="AE26" s="3592"/>
      <c r="AF26" s="3593"/>
      <c r="AG26" s="405"/>
    </row>
    <row r="27" spans="1:33" ht="43.5" customHeight="1">
      <c r="A27" s="2339">
        <v>3</v>
      </c>
      <c r="B27" s="3137" t="s">
        <v>477</v>
      </c>
      <c r="C27" s="3742" t="s">
        <v>477</v>
      </c>
      <c r="D27" s="3742" t="s">
        <v>477</v>
      </c>
      <c r="E27" s="3743" t="s">
        <v>477</v>
      </c>
      <c r="F27" s="246" t="s">
        <v>194</v>
      </c>
      <c r="G27" s="47" t="s">
        <v>717</v>
      </c>
      <c r="H27" s="2341">
        <f>'R.FILE GOC'!H77</f>
        <v>58</v>
      </c>
      <c r="I27" s="3591">
        <f>'R.GUI MAIL'!K77</f>
        <v>59</v>
      </c>
      <c r="J27" s="3592"/>
      <c r="K27" s="3593"/>
      <c r="L27" s="2341">
        <f>'R.FILE GOC'!N77</f>
        <v>0</v>
      </c>
      <c r="M27" s="3591">
        <f>'R.GUI MAIL'!Q77</f>
        <v>0</v>
      </c>
      <c r="N27" s="3592"/>
      <c r="O27" s="3593"/>
      <c r="P27" s="405"/>
      <c r="R27" s="2339">
        <v>3</v>
      </c>
      <c r="S27" s="3137" t="s">
        <v>477</v>
      </c>
      <c r="T27" s="3742" t="s">
        <v>477</v>
      </c>
      <c r="U27" s="3742" t="s">
        <v>477</v>
      </c>
      <c r="V27" s="3743" t="s">
        <v>477</v>
      </c>
      <c r="W27" s="246" t="s">
        <v>194</v>
      </c>
      <c r="X27" s="47" t="s">
        <v>717</v>
      </c>
      <c r="Y27" s="2341">
        <f>'R.FILE GOC'!T77</f>
        <v>0</v>
      </c>
      <c r="Z27" s="3591">
        <f>'R.GUI MAIL'!W77</f>
        <v>0</v>
      </c>
      <c r="AA27" s="3592"/>
      <c r="AB27" s="3593"/>
      <c r="AC27" s="2341">
        <f>'R.FILE GOC'!Z77</f>
        <v>0</v>
      </c>
      <c r="AD27" s="3591">
        <f>'R.GUI MAIL'!AC77</f>
        <v>0</v>
      </c>
      <c r="AE27" s="3592"/>
      <c r="AF27" s="3593"/>
      <c r="AG27" s="405"/>
    </row>
    <row r="28" spans="1:33" ht="43.5" customHeight="1">
      <c r="A28" s="2339">
        <v>4</v>
      </c>
      <c r="B28" s="3137" t="s">
        <v>508</v>
      </c>
      <c r="C28" s="3742" t="s">
        <v>508</v>
      </c>
      <c r="D28" s="3742" t="s">
        <v>508</v>
      </c>
      <c r="E28" s="3743" t="s">
        <v>508</v>
      </c>
      <c r="F28" s="246" t="s">
        <v>194</v>
      </c>
      <c r="G28" s="47" t="s">
        <v>718</v>
      </c>
      <c r="H28" s="2341">
        <f>'R.FILE GOC'!H78</f>
        <v>40</v>
      </c>
      <c r="I28" s="3591">
        <f>'R.GUI MAIL'!K78</f>
        <v>34</v>
      </c>
      <c r="J28" s="3592"/>
      <c r="K28" s="3593"/>
      <c r="L28" s="2341">
        <f>'R.FILE GOC'!N78</f>
        <v>0</v>
      </c>
      <c r="M28" s="3591">
        <f>'R.GUI MAIL'!Q78</f>
        <v>0</v>
      </c>
      <c r="N28" s="3592"/>
      <c r="O28" s="3593"/>
      <c r="P28" s="405"/>
      <c r="R28" s="2339">
        <v>4</v>
      </c>
      <c r="S28" s="3137" t="s">
        <v>508</v>
      </c>
      <c r="T28" s="3742" t="s">
        <v>508</v>
      </c>
      <c r="U28" s="3742" t="s">
        <v>508</v>
      </c>
      <c r="V28" s="3743" t="s">
        <v>508</v>
      </c>
      <c r="W28" s="246" t="s">
        <v>194</v>
      </c>
      <c r="X28" s="47" t="s">
        <v>718</v>
      </c>
      <c r="Y28" s="2341">
        <f>'R.FILE GOC'!T78</f>
        <v>0</v>
      </c>
      <c r="Z28" s="3591">
        <f>'R.GUI MAIL'!W78</f>
        <v>0</v>
      </c>
      <c r="AA28" s="3592"/>
      <c r="AB28" s="3593"/>
      <c r="AC28" s="2341">
        <f>'R.FILE GOC'!Z78</f>
        <v>0</v>
      </c>
      <c r="AD28" s="3591">
        <f>'R.GUI MAIL'!AC78</f>
        <v>0</v>
      </c>
      <c r="AE28" s="3592"/>
      <c r="AF28" s="3593"/>
      <c r="AG28" s="405"/>
    </row>
    <row r="29" spans="1:33" ht="43.5" customHeight="1">
      <c r="A29" s="2339">
        <v>5</v>
      </c>
      <c r="B29" s="3137" t="s">
        <v>583</v>
      </c>
      <c r="C29" s="3742"/>
      <c r="D29" s="3742"/>
      <c r="E29" s="3743"/>
      <c r="F29" s="246" t="s">
        <v>194</v>
      </c>
      <c r="G29" s="47" t="s">
        <v>719</v>
      </c>
      <c r="H29" s="2341">
        <f>'R.FILE GOC'!H79</f>
        <v>31</v>
      </c>
      <c r="I29" s="3591">
        <f>'R.GUI MAIL'!K79</f>
        <v>31</v>
      </c>
      <c r="J29" s="3592"/>
      <c r="K29" s="3593"/>
      <c r="L29" s="2341">
        <f>'R.FILE GOC'!N79</f>
        <v>0</v>
      </c>
      <c r="M29" s="3591">
        <f>'R.GUI MAIL'!Q79</f>
        <v>0</v>
      </c>
      <c r="N29" s="3592"/>
      <c r="O29" s="3593"/>
      <c r="P29" s="405"/>
      <c r="R29" s="2339">
        <v>5</v>
      </c>
      <c r="S29" s="3137" t="s">
        <v>583</v>
      </c>
      <c r="T29" s="3742"/>
      <c r="U29" s="3742"/>
      <c r="V29" s="3743"/>
      <c r="W29" s="246" t="s">
        <v>194</v>
      </c>
      <c r="X29" s="47" t="s">
        <v>719</v>
      </c>
      <c r="Y29" s="2341">
        <f>'R.FILE GOC'!T79</f>
        <v>0</v>
      </c>
      <c r="Z29" s="3591">
        <f>'R.GUI MAIL'!W79</f>
        <v>0</v>
      </c>
      <c r="AA29" s="3592"/>
      <c r="AB29" s="3593"/>
      <c r="AC29" s="2341">
        <f>'R.FILE GOC'!Z79</f>
        <v>0</v>
      </c>
      <c r="AD29" s="3591">
        <f>'R.GUI MAIL'!AC79</f>
        <v>0</v>
      </c>
      <c r="AE29" s="3592"/>
      <c r="AF29" s="3593"/>
      <c r="AG29" s="405"/>
    </row>
    <row r="30" spans="1:33" ht="43.5" hidden="1" customHeight="1">
      <c r="A30" s="2339"/>
      <c r="B30" s="3137" t="s">
        <v>584</v>
      </c>
      <c r="C30" s="3742"/>
      <c r="D30" s="3742"/>
      <c r="E30" s="3743"/>
      <c r="F30" s="246" t="s">
        <v>194</v>
      </c>
      <c r="G30" s="47" t="s">
        <v>719</v>
      </c>
      <c r="H30" s="2341">
        <f>'R.FILE GOC'!H80</f>
        <v>0</v>
      </c>
      <c r="I30" s="3591">
        <f>'R.GUI MAIL'!K80</f>
        <v>0</v>
      </c>
      <c r="J30" s="3592"/>
      <c r="K30" s="3593"/>
      <c r="L30" s="2341">
        <f>'R.FILE GOC'!N80</f>
        <v>0</v>
      </c>
      <c r="M30" s="3591">
        <f>'R.GUI MAIL'!Q80</f>
        <v>0</v>
      </c>
      <c r="N30" s="3592"/>
      <c r="O30" s="3593"/>
      <c r="P30" s="405"/>
      <c r="R30" s="2339"/>
      <c r="S30" s="3137" t="s">
        <v>584</v>
      </c>
      <c r="T30" s="3742"/>
      <c r="U30" s="3742"/>
      <c r="V30" s="3743"/>
      <c r="W30" s="246" t="s">
        <v>194</v>
      </c>
      <c r="X30" s="47" t="s">
        <v>719</v>
      </c>
      <c r="Y30" s="2341">
        <f>'R.FILE GOC'!T80</f>
        <v>0</v>
      </c>
      <c r="Z30" s="3591">
        <f>'R.GUI MAIL'!W80</f>
        <v>0</v>
      </c>
      <c r="AA30" s="3592"/>
      <c r="AB30" s="3593"/>
      <c r="AC30" s="2341">
        <f>'R.FILE GOC'!Z80</f>
        <v>0</v>
      </c>
      <c r="AD30" s="3591">
        <f>'R.GUI MAIL'!AC80</f>
        <v>0</v>
      </c>
      <c r="AE30" s="3592"/>
      <c r="AF30" s="3593"/>
      <c r="AG30" s="405"/>
    </row>
    <row r="31" spans="1:33" ht="43.5" customHeight="1">
      <c r="A31" s="2339">
        <v>6</v>
      </c>
      <c r="B31" s="3137" t="s">
        <v>516</v>
      </c>
      <c r="C31" s="3742" t="s">
        <v>516</v>
      </c>
      <c r="D31" s="3742" t="s">
        <v>516</v>
      </c>
      <c r="E31" s="3743" t="s">
        <v>516</v>
      </c>
      <c r="F31" s="246" t="s">
        <v>194</v>
      </c>
      <c r="G31" s="47" t="s">
        <v>720</v>
      </c>
      <c r="H31" s="2340" t="str">
        <f>'R.FILE GOC'!H81</f>
        <v>\</v>
      </c>
      <c r="I31" s="3591">
        <f>'R.GUI MAIL'!K81</f>
        <v>35</v>
      </c>
      <c r="J31" s="3592"/>
      <c r="K31" s="3592"/>
      <c r="L31" s="2340" t="str">
        <f>'R.FILE GOC'!N81</f>
        <v>\</v>
      </c>
      <c r="M31" s="3591">
        <f>'R.GUI MAIL'!Q81</f>
        <v>0</v>
      </c>
      <c r="N31" s="3592"/>
      <c r="O31" s="3592"/>
      <c r="P31" s="405"/>
      <c r="R31" s="2339">
        <v>6</v>
      </c>
      <c r="S31" s="3137" t="s">
        <v>516</v>
      </c>
      <c r="T31" s="3742" t="s">
        <v>516</v>
      </c>
      <c r="U31" s="3742" t="s">
        <v>516</v>
      </c>
      <c r="V31" s="3743" t="s">
        <v>516</v>
      </c>
      <c r="W31" s="246" t="s">
        <v>194</v>
      </c>
      <c r="X31" s="47" t="s">
        <v>720</v>
      </c>
      <c r="Y31" s="2340" t="str">
        <f>'R.FILE GOC'!T81</f>
        <v>\</v>
      </c>
      <c r="Z31" s="3591">
        <f>'R.GUI MAIL'!W81</f>
        <v>0</v>
      </c>
      <c r="AA31" s="3592"/>
      <c r="AB31" s="3592"/>
      <c r="AC31" s="2340" t="str">
        <f>'R.FILE GOC'!Z81</f>
        <v>\</v>
      </c>
      <c r="AD31" s="3591">
        <f>'R.GUI MAIL'!AC81</f>
        <v>0</v>
      </c>
      <c r="AE31" s="3592"/>
      <c r="AF31" s="3592"/>
      <c r="AG31" s="405"/>
    </row>
    <row r="32" spans="1:33" ht="45" hidden="1" customHeight="1">
      <c r="A32" s="2342"/>
      <c r="B32" s="467"/>
      <c r="C32" s="468"/>
      <c r="D32" s="468"/>
      <c r="E32" s="468"/>
      <c r="F32" s="468"/>
      <c r="G32" s="468"/>
      <c r="H32" s="469" t="s">
        <v>518</v>
      </c>
      <c r="I32" s="468"/>
      <c r="J32" s="468"/>
      <c r="K32" s="468"/>
      <c r="L32" s="468"/>
      <c r="M32" s="468"/>
      <c r="N32" s="468"/>
      <c r="O32" s="468"/>
      <c r="P32" s="470"/>
    </row>
    <row r="33" spans="1:16" ht="45" hidden="1" customHeight="1">
      <c r="A33" s="2339">
        <v>1</v>
      </c>
      <c r="B33" s="3134" t="s">
        <v>518</v>
      </c>
      <c r="C33" s="3135"/>
      <c r="D33" s="3135"/>
      <c r="E33" s="3136"/>
      <c r="F33" s="247" t="s">
        <v>519</v>
      </c>
      <c r="G33" s="247" t="s">
        <v>520</v>
      </c>
      <c r="H33" s="3202">
        <f>'R.FILE GOC'!H83</f>
        <v>986</v>
      </c>
      <c r="I33" s="3214"/>
      <c r="J33" s="3214"/>
      <c r="K33" s="3214"/>
      <c r="L33" s="3202">
        <f>'R.FILE GOC'!N83</f>
        <v>0</v>
      </c>
      <c r="M33" s="3214"/>
      <c r="N33" s="3214"/>
      <c r="O33" s="3203"/>
      <c r="P33" s="597"/>
    </row>
    <row r="34" spans="1:16" ht="45" hidden="1" customHeight="1">
      <c r="A34" s="2339">
        <v>2</v>
      </c>
      <c r="B34" s="3137" t="s">
        <v>521</v>
      </c>
      <c r="C34" s="3742"/>
      <c r="D34" s="3742"/>
      <c r="E34" s="3743"/>
      <c r="F34" s="247" t="s">
        <v>519</v>
      </c>
      <c r="G34" s="47" t="s">
        <v>522</v>
      </c>
      <c r="H34" s="3202">
        <f>'R.FILE GOC'!H84</f>
        <v>0</v>
      </c>
      <c r="I34" s="3214"/>
      <c r="J34" s="3214"/>
      <c r="K34" s="3214"/>
      <c r="L34" s="3202">
        <f>'R.FILE GOC'!N84</f>
        <v>0</v>
      </c>
      <c r="M34" s="3214"/>
      <c r="N34" s="3214"/>
      <c r="O34" s="3203"/>
      <c r="P34" s="405"/>
    </row>
  </sheetData>
  <sheetProtection formatCells="0" formatColumns="0" formatRows="0" insertColumns="0" insertRows="0" insertHyperlinks="0" deleteColumns="0" deleteRows="0" selectLockedCells="1" sort="0" autoFilter="0" pivotTables="0"/>
  <mergeCells count="112">
    <mergeCell ref="B34:E34"/>
    <mergeCell ref="H34:K34"/>
    <mergeCell ref="L34:O34"/>
    <mergeCell ref="B31:E31"/>
    <mergeCell ref="I31:K31"/>
    <mergeCell ref="M31:O31"/>
    <mergeCell ref="B33:E33"/>
    <mergeCell ref="H33:K33"/>
    <mergeCell ref="L33:O33"/>
    <mergeCell ref="B28:E28"/>
    <mergeCell ref="I28:K28"/>
    <mergeCell ref="M28:O28"/>
    <mergeCell ref="B29:E29"/>
    <mergeCell ref="I29:K29"/>
    <mergeCell ref="M29:O29"/>
    <mergeCell ref="B30:E30"/>
    <mergeCell ref="I30:K30"/>
    <mergeCell ref="M30:O30"/>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R1:AA1"/>
    <mergeCell ref="R2:AD2"/>
    <mergeCell ref="AE2:AF2"/>
    <mergeCell ref="AE3:AF3"/>
    <mergeCell ref="R4:R6"/>
    <mergeCell ref="S4:V6"/>
    <mergeCell ref="W4:W6"/>
    <mergeCell ref="X4:X6"/>
    <mergeCell ref="A1:J1"/>
    <mergeCell ref="A2:M2"/>
    <mergeCell ref="N2:O2"/>
    <mergeCell ref="N3:O3"/>
    <mergeCell ref="A4:A6"/>
    <mergeCell ref="B4:E6"/>
    <mergeCell ref="F4:F6"/>
    <mergeCell ref="G4:G6"/>
    <mergeCell ref="S7:V7"/>
    <mergeCell ref="S8:V8"/>
    <mergeCell ref="S9:V9"/>
    <mergeCell ref="S10:V10"/>
    <mergeCell ref="S11:V11"/>
    <mergeCell ref="AG4:AG6"/>
    <mergeCell ref="Y5:AB5"/>
    <mergeCell ref="AC5:AF5"/>
    <mergeCell ref="Z6:AB6"/>
    <mergeCell ref="AD6:AF6"/>
    <mergeCell ref="S17:V17"/>
    <mergeCell ref="S18:V18"/>
    <mergeCell ref="S19:V19"/>
    <mergeCell ref="S20:V20"/>
    <mergeCell ref="S21:V21"/>
    <mergeCell ref="S12:V12"/>
    <mergeCell ref="S13:V13"/>
    <mergeCell ref="S14:V14"/>
    <mergeCell ref="S15:V15"/>
    <mergeCell ref="S16:V16"/>
    <mergeCell ref="S26:V26"/>
    <mergeCell ref="Z26:AB26"/>
    <mergeCell ref="AD26:AF26"/>
    <mergeCell ref="S27:V27"/>
    <mergeCell ref="Z27:AB27"/>
    <mergeCell ref="AD27:AF27"/>
    <mergeCell ref="S22:V22"/>
    <mergeCell ref="S24:V24"/>
    <mergeCell ref="Z24:AB24"/>
    <mergeCell ref="AD24:AF24"/>
    <mergeCell ref="S25:V25"/>
    <mergeCell ref="Z25:AB25"/>
    <mergeCell ref="AD25:AF25"/>
    <mergeCell ref="S30:V30"/>
    <mergeCell ref="Z30:AB30"/>
    <mergeCell ref="AD30:AF30"/>
    <mergeCell ref="S31:V31"/>
    <mergeCell ref="Z31:AB31"/>
    <mergeCell ref="AD31:AF31"/>
    <mergeCell ref="S28:V28"/>
    <mergeCell ref="Z28:AB28"/>
    <mergeCell ref="AD28:AF28"/>
    <mergeCell ref="S29:V29"/>
    <mergeCell ref="Z29:AB29"/>
    <mergeCell ref="AD29:AF29"/>
  </mergeCells>
  <phoneticPr fontId="7" type="noConversion"/>
  <conditionalFormatting sqref="H10">
    <cfRule type="expression" dxfId="1107" priority="607">
      <formula>H10&lt;5</formula>
    </cfRule>
    <cfRule type="expression" dxfId="1106" priority="608">
      <formula>H10&gt;15</formula>
    </cfRule>
  </conditionalFormatting>
  <conditionalFormatting sqref="H11">
    <cfRule type="expression" dxfId="1105" priority="606">
      <formula>H11&gt;1.5</formula>
    </cfRule>
  </conditionalFormatting>
  <conditionalFormatting sqref="H12">
    <cfRule type="expression" dxfId="1104" priority="604">
      <formula>H12&lt;20</formula>
    </cfRule>
    <cfRule type="expression" dxfId="1103" priority="605">
      <formula>H12&gt;25</formula>
    </cfRule>
  </conditionalFormatting>
  <conditionalFormatting sqref="H13">
    <cfRule type="expression" dxfId="1102" priority="602">
      <formula>H13&lt;6</formula>
    </cfRule>
    <cfRule type="expression" dxfId="1101" priority="603">
      <formula>H13&gt;9</formula>
    </cfRule>
  </conditionalFormatting>
  <conditionalFormatting sqref="H14">
    <cfRule type="expression" dxfId="1100" priority="600">
      <formula>H14&lt;7</formula>
    </cfRule>
    <cfRule type="expression" dxfId="1099" priority="601">
      <formula>H14&gt;10</formula>
    </cfRule>
  </conditionalFormatting>
  <conditionalFormatting sqref="H15">
    <cfRule type="expression" dxfId="1098" priority="598">
      <formula>H15&lt;5.3</formula>
    </cfRule>
    <cfRule type="expression" dxfId="1097" priority="599">
      <formula>H15&gt;6</formula>
    </cfRule>
  </conditionalFormatting>
  <conditionalFormatting sqref="H16">
    <cfRule type="expression" dxfId="1096" priority="596">
      <formula>H16&lt;5.3</formula>
    </cfRule>
    <cfRule type="expression" dxfId="1095" priority="597">
      <formula>H16&gt;6</formula>
    </cfRule>
  </conditionalFormatting>
  <conditionalFormatting sqref="H17">
    <cfRule type="expression" dxfId="1094" priority="594">
      <formula>H17&lt;12</formula>
    </cfRule>
    <cfRule type="expression" dxfId="1093" priority="595">
      <formula>H17&gt;18</formula>
    </cfRule>
  </conditionalFormatting>
  <conditionalFormatting sqref="H19">
    <cfRule type="expression" dxfId="1092" priority="592">
      <formula>H19&lt;12</formula>
    </cfRule>
    <cfRule type="expression" dxfId="1091" priority="593">
      <formula>H19&gt;18</formula>
    </cfRule>
  </conditionalFormatting>
  <conditionalFormatting sqref="H18">
    <cfRule type="expression" dxfId="1090" priority="590">
      <formula>H18&lt;8</formula>
    </cfRule>
    <cfRule type="expression" dxfId="1089" priority="591">
      <formula>H18&gt;16</formula>
    </cfRule>
  </conditionalFormatting>
  <conditionalFormatting sqref="H20">
    <cfRule type="expression" dxfId="1088" priority="588">
      <formula>H20&lt;8</formula>
    </cfRule>
    <cfRule type="expression" dxfId="1087" priority="589">
      <formula>H20&gt;16</formula>
    </cfRule>
  </conditionalFormatting>
  <conditionalFormatting sqref="L10">
    <cfRule type="expression" dxfId="1086" priority="586">
      <formula>L10&lt;5</formula>
    </cfRule>
    <cfRule type="expression" dxfId="1085" priority="587">
      <formula>L10&gt;15</formula>
    </cfRule>
  </conditionalFormatting>
  <conditionalFormatting sqref="L11">
    <cfRule type="expression" dxfId="1084" priority="585">
      <formula>L11&gt;1.5</formula>
    </cfRule>
  </conditionalFormatting>
  <conditionalFormatting sqref="L12">
    <cfRule type="expression" dxfId="1083" priority="583">
      <formula>L12&lt;20</formula>
    </cfRule>
    <cfRule type="expression" dxfId="1082" priority="584">
      <formula>L12&gt;25</formula>
    </cfRule>
  </conditionalFormatting>
  <conditionalFormatting sqref="L13">
    <cfRule type="expression" dxfId="1081" priority="581">
      <formula>L13&lt;6</formula>
    </cfRule>
    <cfRule type="expression" dxfId="1080" priority="582">
      <formula>L13&gt;9</formula>
    </cfRule>
  </conditionalFormatting>
  <conditionalFormatting sqref="L14">
    <cfRule type="expression" dxfId="1079" priority="579">
      <formula>L14&lt;7</formula>
    </cfRule>
    <cfRule type="expression" dxfId="1078" priority="580">
      <formula>L14&gt;10</formula>
    </cfRule>
  </conditionalFormatting>
  <conditionalFormatting sqref="L15">
    <cfRule type="expression" dxfId="1077" priority="577">
      <formula>L15&lt;5.3</formula>
    </cfRule>
    <cfRule type="expression" dxfId="1076" priority="578">
      <formula>L15&gt;6</formula>
    </cfRule>
  </conditionalFormatting>
  <conditionalFormatting sqref="L16">
    <cfRule type="expression" dxfId="1075" priority="575">
      <formula>L16&lt;5.3</formula>
    </cfRule>
    <cfRule type="expression" dxfId="1074" priority="576">
      <formula>L16&gt;6</formula>
    </cfRule>
  </conditionalFormatting>
  <conditionalFormatting sqref="L25">
    <cfRule type="expression" dxfId="1073" priority="565">
      <formula>L25&lt;51</formula>
    </cfRule>
    <cfRule type="expression" dxfId="1072" priority="566">
      <formula>L25&gt;59</formula>
    </cfRule>
  </conditionalFormatting>
  <conditionalFormatting sqref="L25">
    <cfRule type="expression" dxfId="1071" priority="564">
      <formula>L25&lt;1</formula>
    </cfRule>
  </conditionalFormatting>
  <conditionalFormatting sqref="L26:L27">
    <cfRule type="expression" dxfId="1070" priority="562">
      <formula>L26&lt;51</formula>
    </cfRule>
    <cfRule type="expression" dxfId="1069" priority="563">
      <formula>L26&gt;59</formula>
    </cfRule>
  </conditionalFormatting>
  <conditionalFormatting sqref="L26:L27">
    <cfRule type="expression" dxfId="1068" priority="561">
      <formula>L26&lt;1</formula>
    </cfRule>
  </conditionalFormatting>
  <conditionalFormatting sqref="L28">
    <cfRule type="expression" dxfId="1067" priority="559">
      <formula>L28&lt;30</formula>
    </cfRule>
    <cfRule type="expression" dxfId="1066" priority="560">
      <formula>L28&gt;40</formula>
    </cfRule>
  </conditionalFormatting>
  <conditionalFormatting sqref="L28">
    <cfRule type="expression" dxfId="1065" priority="558">
      <formula>L28&lt;1</formula>
    </cfRule>
  </conditionalFormatting>
  <conditionalFormatting sqref="L29">
    <cfRule type="expression" dxfId="1064" priority="556">
      <formula>L29&lt;26</formula>
    </cfRule>
    <cfRule type="expression" dxfId="1063" priority="557">
      <formula>L29&gt;32</formula>
    </cfRule>
  </conditionalFormatting>
  <conditionalFormatting sqref="L29">
    <cfRule type="expression" dxfId="1062" priority="555">
      <formula>L29&lt;1</formula>
    </cfRule>
  </conditionalFormatting>
  <conditionalFormatting sqref="L30">
    <cfRule type="expression" dxfId="1061" priority="553">
      <formula>L30&lt;26</formula>
    </cfRule>
    <cfRule type="expression" dxfId="1060" priority="554">
      <formula>L30&gt;32</formula>
    </cfRule>
  </conditionalFormatting>
  <conditionalFormatting sqref="L30">
    <cfRule type="expression" dxfId="1059" priority="552">
      <formula>L30&lt;1</formula>
    </cfRule>
  </conditionalFormatting>
  <conditionalFormatting sqref="H25">
    <cfRule type="expression" dxfId="1058" priority="550">
      <formula>H25&lt;51</formula>
    </cfRule>
    <cfRule type="expression" dxfId="1057" priority="551">
      <formula>H25&gt;59</formula>
    </cfRule>
  </conditionalFormatting>
  <conditionalFormatting sqref="H25">
    <cfRule type="expression" dxfId="1056" priority="549">
      <formula>H25&lt;1</formula>
    </cfRule>
  </conditionalFormatting>
  <conditionalFormatting sqref="H26:H27">
    <cfRule type="expression" dxfId="1055" priority="547">
      <formula>H26&lt;51</formula>
    </cfRule>
    <cfRule type="expression" dxfId="1054" priority="548">
      <formula>H26&gt;59</formula>
    </cfRule>
  </conditionalFormatting>
  <conditionalFormatting sqref="H26:H27">
    <cfRule type="expression" dxfId="1053" priority="546">
      <formula>H26&lt;1</formula>
    </cfRule>
  </conditionalFormatting>
  <conditionalFormatting sqref="H28">
    <cfRule type="expression" dxfId="1052" priority="544">
      <formula>H28&lt;30</formula>
    </cfRule>
    <cfRule type="expression" dxfId="1051" priority="545">
      <formula>H28&gt;40</formula>
    </cfRule>
  </conditionalFormatting>
  <conditionalFormatting sqref="H28">
    <cfRule type="expression" dxfId="1050" priority="543">
      <formula>H28&lt;1</formula>
    </cfRule>
  </conditionalFormatting>
  <conditionalFormatting sqref="H29">
    <cfRule type="expression" dxfId="1049" priority="541">
      <formula>H29&lt;26</formula>
    </cfRule>
    <cfRule type="expression" dxfId="1048" priority="542">
      <formula>H29&gt;32</formula>
    </cfRule>
  </conditionalFormatting>
  <conditionalFormatting sqref="H29">
    <cfRule type="expression" dxfId="1047" priority="540">
      <formula>H29&lt;1</formula>
    </cfRule>
  </conditionalFormatting>
  <conditionalFormatting sqref="H30">
    <cfRule type="expression" dxfId="1046" priority="538">
      <formula>H30&lt;26</formula>
    </cfRule>
    <cfRule type="expression" dxfId="1045" priority="539">
      <formula>H30&gt;32</formula>
    </cfRule>
  </conditionalFormatting>
  <conditionalFormatting sqref="H30">
    <cfRule type="expression" dxfId="1044" priority="537">
      <formula>H30&lt;1</formula>
    </cfRule>
  </conditionalFormatting>
  <conditionalFormatting sqref="I25:K25">
    <cfRule type="expression" dxfId="1043" priority="527">
      <formula>I25&lt;51</formula>
    </cfRule>
    <cfRule type="expression" dxfId="1042" priority="528">
      <formula>I25&gt;59</formula>
    </cfRule>
  </conditionalFormatting>
  <conditionalFormatting sqref="I25:K25">
    <cfRule type="expression" dxfId="1041" priority="526">
      <formula>I25&lt;1</formula>
    </cfRule>
  </conditionalFormatting>
  <conditionalFormatting sqref="I26:K27">
    <cfRule type="expression" dxfId="1040" priority="524">
      <formula>I26&lt;51</formula>
    </cfRule>
    <cfRule type="expression" dxfId="1039" priority="525">
      <formula>I26&gt;59</formula>
    </cfRule>
  </conditionalFormatting>
  <conditionalFormatting sqref="I26:K27">
    <cfRule type="expression" dxfId="1038" priority="523">
      <formula>I26&lt;1</formula>
    </cfRule>
  </conditionalFormatting>
  <conditionalFormatting sqref="I28:K28">
    <cfRule type="expression" dxfId="1037" priority="521">
      <formula>I28&lt;30</formula>
    </cfRule>
    <cfRule type="expression" dxfId="1036" priority="522">
      <formula>I28&gt;40</formula>
    </cfRule>
  </conditionalFormatting>
  <conditionalFormatting sqref="I28:K28">
    <cfRule type="expression" dxfId="1035" priority="520">
      <formula>I28&lt;1</formula>
    </cfRule>
  </conditionalFormatting>
  <conditionalFormatting sqref="I29:K29">
    <cfRule type="expression" dxfId="1034" priority="518">
      <formula>I29&lt;26</formula>
    </cfRule>
    <cfRule type="expression" dxfId="1033" priority="519">
      <formula>I29&gt;32</formula>
    </cfRule>
  </conditionalFormatting>
  <conditionalFormatting sqref="I29:K29">
    <cfRule type="expression" dxfId="1032" priority="517">
      <formula>I29&lt;1</formula>
    </cfRule>
  </conditionalFormatting>
  <conditionalFormatting sqref="I30:K30">
    <cfRule type="expression" dxfId="1031" priority="515">
      <formula>I30&lt;26</formula>
    </cfRule>
    <cfRule type="expression" dxfId="1030" priority="516">
      <formula>I30&gt;32</formula>
    </cfRule>
  </conditionalFormatting>
  <conditionalFormatting sqref="I30:K30">
    <cfRule type="expression" dxfId="1029" priority="514">
      <formula>I30&lt;1</formula>
    </cfRule>
  </conditionalFormatting>
  <conditionalFormatting sqref="I25:K25">
    <cfRule type="expression" dxfId="1028" priority="512">
      <formula>I25&lt;51</formula>
    </cfRule>
    <cfRule type="expression" dxfId="1027" priority="513">
      <formula>I25&gt;59</formula>
    </cfRule>
  </conditionalFormatting>
  <conditionalFormatting sqref="I25:K25">
    <cfRule type="expression" dxfId="1026" priority="511">
      <formula>I25&lt;1</formula>
    </cfRule>
  </conditionalFormatting>
  <conditionalFormatting sqref="I26:K27">
    <cfRule type="expression" dxfId="1025" priority="509">
      <formula>I26&lt;51</formula>
    </cfRule>
    <cfRule type="expression" dxfId="1024" priority="510">
      <formula>I26&gt;59</formula>
    </cfRule>
  </conditionalFormatting>
  <conditionalFormatting sqref="I26:K27">
    <cfRule type="expression" dxfId="1023" priority="508">
      <formula>I26&lt;1</formula>
    </cfRule>
  </conditionalFormatting>
  <conditionalFormatting sqref="I28:K28">
    <cfRule type="expression" dxfId="1022" priority="506">
      <formula>I28&lt;30</formula>
    </cfRule>
    <cfRule type="expression" dxfId="1021" priority="507">
      <formula>I28&gt;40</formula>
    </cfRule>
  </conditionalFormatting>
  <conditionalFormatting sqref="I28:K28">
    <cfRule type="expression" dxfId="1020" priority="505">
      <formula>I28&lt;1</formula>
    </cfRule>
  </conditionalFormatting>
  <conditionalFormatting sqref="I29:K29">
    <cfRule type="expression" dxfId="1019" priority="503">
      <formula>I29&lt;26</formula>
    </cfRule>
    <cfRule type="expression" dxfId="1018" priority="504">
      <formula>I29&gt;32</formula>
    </cfRule>
  </conditionalFormatting>
  <conditionalFormatting sqref="I29:K29">
    <cfRule type="expression" dxfId="1017" priority="502">
      <formula>I29&lt;1</formula>
    </cfRule>
  </conditionalFormatting>
  <conditionalFormatting sqref="I30:K30">
    <cfRule type="expression" dxfId="1016" priority="500">
      <formula>I30&lt;26</formula>
    </cfRule>
    <cfRule type="expression" dxfId="1015" priority="501">
      <formula>I30&gt;32</formula>
    </cfRule>
  </conditionalFormatting>
  <conditionalFormatting sqref="I30:K30">
    <cfRule type="expression" dxfId="1014" priority="499">
      <formula>I30&lt;1</formula>
    </cfRule>
  </conditionalFormatting>
  <conditionalFormatting sqref="I31">
    <cfRule type="expression" dxfId="1013" priority="497">
      <formula>I31&lt;170</formula>
    </cfRule>
    <cfRule type="expression" dxfId="1012" priority="498">
      <formula>I31&gt;220</formula>
    </cfRule>
  </conditionalFormatting>
  <conditionalFormatting sqref="I31">
    <cfRule type="expression" dxfId="1011" priority="496">
      <formula>I31&lt;1</formula>
    </cfRule>
  </conditionalFormatting>
  <conditionalFormatting sqref="M25:O25">
    <cfRule type="expression" dxfId="1010" priority="494">
      <formula>M25&lt;51</formula>
    </cfRule>
    <cfRule type="expression" dxfId="1009" priority="495">
      <formula>M25&gt;59</formula>
    </cfRule>
  </conditionalFormatting>
  <conditionalFormatting sqref="M25:O25">
    <cfRule type="expression" dxfId="1008" priority="493">
      <formula>M25&lt;1</formula>
    </cfRule>
  </conditionalFormatting>
  <conditionalFormatting sqref="M26:O27">
    <cfRule type="expression" dxfId="1007" priority="491">
      <formula>M26&lt;51</formula>
    </cfRule>
    <cfRule type="expression" dxfId="1006" priority="492">
      <formula>M26&gt;59</formula>
    </cfRule>
  </conditionalFormatting>
  <conditionalFormatting sqref="M26:O27">
    <cfRule type="expression" dxfId="1005" priority="490">
      <formula>M26&lt;1</formula>
    </cfRule>
  </conditionalFormatting>
  <conditionalFormatting sqref="M28:O28">
    <cfRule type="expression" dxfId="1004" priority="488">
      <formula>M28&lt;30</formula>
    </cfRule>
    <cfRule type="expression" dxfId="1003" priority="489">
      <formula>M28&gt;40</formula>
    </cfRule>
  </conditionalFormatting>
  <conditionalFormatting sqref="M28:O28">
    <cfRule type="expression" dxfId="1002" priority="487">
      <formula>M28&lt;1</formula>
    </cfRule>
  </conditionalFormatting>
  <conditionalFormatting sqref="M29:O29">
    <cfRule type="expression" dxfId="1001" priority="485">
      <formula>M29&lt;26</formula>
    </cfRule>
    <cfRule type="expression" dxfId="1000" priority="486">
      <formula>M29&gt;32</formula>
    </cfRule>
  </conditionalFormatting>
  <conditionalFormatting sqref="M29:O29">
    <cfRule type="expression" dxfId="999" priority="484">
      <formula>M29&lt;1</formula>
    </cfRule>
  </conditionalFormatting>
  <conditionalFormatting sqref="M30:O30">
    <cfRule type="expression" dxfId="998" priority="482">
      <formula>M30&lt;26</formula>
    </cfRule>
    <cfRule type="expression" dxfId="997" priority="483">
      <formula>M30&gt;32</formula>
    </cfRule>
  </conditionalFormatting>
  <conditionalFormatting sqref="M30:O30">
    <cfRule type="expression" dxfId="996" priority="481">
      <formula>M30&lt;1</formula>
    </cfRule>
  </conditionalFormatting>
  <conditionalFormatting sqref="M25:O25">
    <cfRule type="expression" dxfId="995" priority="479">
      <formula>M25&lt;51</formula>
    </cfRule>
    <cfRule type="expression" dxfId="994" priority="480">
      <formula>M25&gt;59</formula>
    </cfRule>
  </conditionalFormatting>
  <conditionalFormatting sqref="M25:O25">
    <cfRule type="expression" dxfId="993" priority="478">
      <formula>M25&lt;1</formula>
    </cfRule>
  </conditionalFormatting>
  <conditionalFormatting sqref="M26:O27">
    <cfRule type="expression" dxfId="992" priority="476">
      <formula>M26&lt;51</formula>
    </cfRule>
    <cfRule type="expression" dxfId="991" priority="477">
      <formula>M26&gt;59</formula>
    </cfRule>
  </conditionalFormatting>
  <conditionalFormatting sqref="M26:O27">
    <cfRule type="expression" dxfId="990" priority="475">
      <formula>M26&lt;1</formula>
    </cfRule>
  </conditionalFormatting>
  <conditionalFormatting sqref="M28:O28">
    <cfRule type="expression" dxfId="989" priority="473">
      <formula>M28&lt;30</formula>
    </cfRule>
    <cfRule type="expression" dxfId="988" priority="474">
      <formula>M28&gt;40</formula>
    </cfRule>
  </conditionalFormatting>
  <conditionalFormatting sqref="M28:O28">
    <cfRule type="expression" dxfId="987" priority="472">
      <formula>M28&lt;1</formula>
    </cfRule>
  </conditionalFormatting>
  <conditionalFormatting sqref="M29:O29">
    <cfRule type="expression" dxfId="986" priority="470">
      <formula>M29&lt;26</formula>
    </cfRule>
    <cfRule type="expression" dxfId="985" priority="471">
      <formula>M29&gt;32</formula>
    </cfRule>
  </conditionalFormatting>
  <conditionalFormatting sqref="M29:O29">
    <cfRule type="expression" dxfId="984" priority="469">
      <formula>M29&lt;1</formula>
    </cfRule>
  </conditionalFormatting>
  <conditionalFormatting sqref="M30:O30">
    <cfRule type="expression" dxfId="983" priority="467">
      <formula>M30&lt;26</formula>
    </cfRule>
    <cfRule type="expression" dxfId="982" priority="468">
      <formula>M30&gt;32</formula>
    </cfRule>
  </conditionalFormatting>
  <conditionalFormatting sqref="M30:O30">
    <cfRule type="expression" dxfId="981" priority="466">
      <formula>M30&lt;1</formula>
    </cfRule>
  </conditionalFormatting>
  <conditionalFormatting sqref="M31">
    <cfRule type="expression" dxfId="980" priority="464">
      <formula>M31&lt;170</formula>
    </cfRule>
    <cfRule type="expression" dxfId="979" priority="465">
      <formula>M31&gt;220</formula>
    </cfRule>
  </conditionalFormatting>
  <conditionalFormatting sqref="M31">
    <cfRule type="expression" dxfId="978" priority="463">
      <formula>M31&lt;1</formula>
    </cfRule>
  </conditionalFormatting>
  <conditionalFormatting sqref="H7">
    <cfRule type="expression" dxfId="977" priority="429">
      <formula>H7&lt;10</formula>
    </cfRule>
    <cfRule type="expression" dxfId="976" priority="430">
      <formula>H7&gt;20</formula>
    </cfRule>
  </conditionalFormatting>
  <conditionalFormatting sqref="L7">
    <cfRule type="expression" dxfId="975" priority="427">
      <formula>L7&lt;10</formula>
    </cfRule>
    <cfRule type="expression" dxfId="974" priority="428">
      <formula>L7&gt;20</formula>
    </cfRule>
  </conditionalFormatting>
  <conditionalFormatting sqref="H8">
    <cfRule type="cellIs" dxfId="973" priority="415" operator="between">
      <formula>40</formula>
      <formula>44.99</formula>
    </cfRule>
    <cfRule type="cellIs" dxfId="972" priority="416" operator="between">
      <formula>55.1</formula>
      <formula>60</formula>
    </cfRule>
    <cfRule type="expression" dxfId="971" priority="417">
      <formula>H8&lt;40</formula>
    </cfRule>
    <cfRule type="expression" dxfId="970" priority="418">
      <formula>H8&gt;60</formula>
    </cfRule>
  </conditionalFormatting>
  <conditionalFormatting sqref="H9">
    <cfRule type="cellIs" dxfId="969" priority="411" operator="between">
      <formula>40</formula>
      <formula>44.99</formula>
    </cfRule>
    <cfRule type="cellIs" dxfId="968" priority="412" operator="between">
      <formula>55.1</formula>
      <formula>60</formula>
    </cfRule>
    <cfRule type="expression" dxfId="967" priority="413">
      <formula>H9&lt;40</formula>
    </cfRule>
    <cfRule type="expression" dxfId="966" priority="414">
      <formula>H9&gt;60</formula>
    </cfRule>
  </conditionalFormatting>
  <conditionalFormatting sqref="L8">
    <cfRule type="cellIs" dxfId="965" priority="407" operator="between">
      <formula>40</formula>
      <formula>44.99</formula>
    </cfRule>
    <cfRule type="cellIs" dxfId="964" priority="408" operator="between">
      <formula>55.1</formula>
      <formula>60</formula>
    </cfRule>
    <cfRule type="expression" dxfId="963" priority="409">
      <formula>L8&lt;40</formula>
    </cfRule>
    <cfRule type="expression" dxfId="962" priority="410">
      <formula>L8&gt;60</formula>
    </cfRule>
  </conditionalFormatting>
  <conditionalFormatting sqref="L9">
    <cfRule type="cellIs" dxfId="961" priority="403" operator="between">
      <formula>40</formula>
      <formula>44.99</formula>
    </cfRule>
    <cfRule type="cellIs" dxfId="960" priority="404" operator="between">
      <formula>55.1</formula>
      <formula>60</formula>
    </cfRule>
    <cfRule type="expression" dxfId="959" priority="405">
      <formula>L9&lt;40</formula>
    </cfRule>
    <cfRule type="expression" dxfId="958" priority="406">
      <formula>L9&gt;60</formula>
    </cfRule>
  </conditionalFormatting>
  <conditionalFormatting sqref="Y13">
    <cfRule type="expression" dxfId="957" priority="396">
      <formula>Y13&lt;6</formula>
    </cfRule>
    <cfRule type="expression" dxfId="956" priority="397">
      <formula>Y13&gt;9</formula>
    </cfRule>
  </conditionalFormatting>
  <conditionalFormatting sqref="Y14">
    <cfRule type="expression" dxfId="955" priority="394">
      <formula>Y14&lt;7</formula>
    </cfRule>
    <cfRule type="expression" dxfId="954" priority="395">
      <formula>Y14&gt;10</formula>
    </cfRule>
  </conditionalFormatting>
  <conditionalFormatting sqref="Y15">
    <cfRule type="expression" dxfId="953" priority="392">
      <formula>Y15&lt;5.3</formula>
    </cfRule>
    <cfRule type="expression" dxfId="952" priority="393">
      <formula>Y15&gt;6</formula>
    </cfRule>
  </conditionalFormatting>
  <conditionalFormatting sqref="Y16">
    <cfRule type="expression" dxfId="951" priority="390">
      <formula>Y16&lt;5.3</formula>
    </cfRule>
    <cfRule type="expression" dxfId="950" priority="391">
      <formula>Y16&gt;6</formula>
    </cfRule>
  </conditionalFormatting>
  <conditionalFormatting sqref="Y17">
    <cfRule type="expression" dxfId="949" priority="388">
      <formula>Y17&lt;12</formula>
    </cfRule>
    <cfRule type="expression" dxfId="948" priority="389">
      <formula>Y17&gt;18</formula>
    </cfRule>
  </conditionalFormatting>
  <conditionalFormatting sqref="Y19">
    <cfRule type="expression" dxfId="947" priority="386">
      <formula>Y19&lt;12</formula>
    </cfRule>
    <cfRule type="expression" dxfId="946" priority="387">
      <formula>Y19&gt;18</formula>
    </cfRule>
  </conditionalFormatting>
  <conditionalFormatting sqref="Y18">
    <cfRule type="expression" dxfId="945" priority="384">
      <formula>Y18&lt;8</formula>
    </cfRule>
    <cfRule type="expression" dxfId="944" priority="385">
      <formula>Y18&gt;16</formula>
    </cfRule>
  </conditionalFormatting>
  <conditionalFormatting sqref="Y20">
    <cfRule type="expression" dxfId="943" priority="382">
      <formula>Y20&lt;8</formula>
    </cfRule>
    <cfRule type="expression" dxfId="942" priority="383">
      <formula>Y20&gt;16</formula>
    </cfRule>
  </conditionalFormatting>
  <conditionalFormatting sqref="AC13">
    <cfRule type="expression" dxfId="941" priority="375">
      <formula>AC13&lt;6</formula>
    </cfRule>
    <cfRule type="expression" dxfId="940" priority="376">
      <formula>AC13&gt;9</formula>
    </cfRule>
  </conditionalFormatting>
  <conditionalFormatting sqref="AC14">
    <cfRule type="expression" dxfId="939" priority="373">
      <formula>AC14&lt;7</formula>
    </cfRule>
    <cfRule type="expression" dxfId="938" priority="374">
      <formula>AC14&gt;10</formula>
    </cfRule>
  </conditionalFormatting>
  <conditionalFormatting sqref="AC15">
    <cfRule type="expression" dxfId="937" priority="371">
      <formula>AC15&lt;5.3</formula>
    </cfRule>
    <cfRule type="expression" dxfId="936" priority="372">
      <formula>AC15&gt;6</formula>
    </cfRule>
  </conditionalFormatting>
  <conditionalFormatting sqref="AC16">
    <cfRule type="expression" dxfId="935" priority="369">
      <formula>AC16&lt;5.3</formula>
    </cfRule>
    <cfRule type="expression" dxfId="934" priority="370">
      <formula>AC16&gt;6</formula>
    </cfRule>
  </conditionalFormatting>
  <conditionalFormatting sqref="AC25">
    <cfRule type="expression" dxfId="933" priority="251">
      <formula>AC25&lt;51</formula>
    </cfRule>
    <cfRule type="expression" dxfId="932" priority="252">
      <formula>AC25&gt;59</formula>
    </cfRule>
  </conditionalFormatting>
  <conditionalFormatting sqref="AC25">
    <cfRule type="expression" dxfId="931" priority="250">
      <formula>AC25&lt;1</formula>
    </cfRule>
  </conditionalFormatting>
  <conditionalFormatting sqref="AC26:AC27">
    <cfRule type="expression" dxfId="930" priority="248">
      <formula>AC26&lt;51</formula>
    </cfRule>
    <cfRule type="expression" dxfId="929" priority="249">
      <formula>AC26&gt;59</formula>
    </cfRule>
  </conditionalFormatting>
  <conditionalFormatting sqref="AC26:AC27">
    <cfRule type="expression" dxfId="928" priority="247">
      <formula>AC26&lt;1</formula>
    </cfRule>
  </conditionalFormatting>
  <conditionalFormatting sqref="AC28">
    <cfRule type="expression" dxfId="927" priority="245">
      <formula>AC28&lt;30</formula>
    </cfRule>
    <cfRule type="expression" dxfId="926" priority="246">
      <formula>AC28&gt;40</formula>
    </cfRule>
  </conditionalFormatting>
  <conditionalFormatting sqref="AC28">
    <cfRule type="expression" dxfId="925" priority="244">
      <formula>AC28&lt;1</formula>
    </cfRule>
  </conditionalFormatting>
  <conditionalFormatting sqref="AC29">
    <cfRule type="expression" dxfId="924" priority="242">
      <formula>AC29&lt;26</formula>
    </cfRule>
    <cfRule type="expression" dxfId="923" priority="243">
      <formula>AC29&gt;32</formula>
    </cfRule>
  </conditionalFormatting>
  <conditionalFormatting sqref="AC29">
    <cfRule type="expression" dxfId="922" priority="241">
      <formula>AC29&lt;1</formula>
    </cfRule>
  </conditionalFormatting>
  <conditionalFormatting sqref="AC30">
    <cfRule type="expression" dxfId="921" priority="239">
      <formula>AC30&lt;26</formula>
    </cfRule>
    <cfRule type="expression" dxfId="920" priority="240">
      <formula>AC30&gt;32</formula>
    </cfRule>
  </conditionalFormatting>
  <conditionalFormatting sqref="AC30">
    <cfRule type="expression" dxfId="919" priority="238">
      <formula>AC30&lt;1</formula>
    </cfRule>
  </conditionalFormatting>
  <conditionalFormatting sqref="Y25">
    <cfRule type="expression" dxfId="918" priority="236">
      <formula>Y25&lt;51</formula>
    </cfRule>
    <cfRule type="expression" dxfId="917" priority="237">
      <formula>Y25&gt;59</formula>
    </cfRule>
  </conditionalFormatting>
  <conditionalFormatting sqref="Y25">
    <cfRule type="expression" dxfId="916" priority="235">
      <formula>Y25&lt;1</formula>
    </cfRule>
  </conditionalFormatting>
  <conditionalFormatting sqref="Y26:Y27">
    <cfRule type="expression" dxfId="915" priority="233">
      <formula>Y26&lt;51</formula>
    </cfRule>
    <cfRule type="expression" dxfId="914" priority="234">
      <formula>Y26&gt;59</formula>
    </cfRule>
  </conditionalFormatting>
  <conditionalFormatting sqref="Y26:Y27">
    <cfRule type="expression" dxfId="913" priority="232">
      <formula>Y26&lt;1</formula>
    </cfRule>
  </conditionalFormatting>
  <conditionalFormatting sqref="Y28">
    <cfRule type="expression" dxfId="912" priority="230">
      <formula>Y28&lt;30</formula>
    </cfRule>
    <cfRule type="expression" dxfId="911" priority="231">
      <formula>Y28&gt;40</formula>
    </cfRule>
  </conditionalFormatting>
  <conditionalFormatting sqref="Y28">
    <cfRule type="expression" dxfId="910" priority="229">
      <formula>Y28&lt;1</formula>
    </cfRule>
  </conditionalFormatting>
  <conditionalFormatting sqref="Y29">
    <cfRule type="expression" dxfId="909" priority="227">
      <formula>Y29&lt;26</formula>
    </cfRule>
    <cfRule type="expression" dxfId="908" priority="228">
      <formula>Y29&gt;32</formula>
    </cfRule>
  </conditionalFormatting>
  <conditionalFormatting sqref="Y29">
    <cfRule type="expression" dxfId="907" priority="226">
      <formula>Y29&lt;1</formula>
    </cfRule>
  </conditionalFormatting>
  <conditionalFormatting sqref="Y30">
    <cfRule type="expression" dxfId="906" priority="224">
      <formula>Y30&lt;26</formula>
    </cfRule>
    <cfRule type="expression" dxfId="905" priority="225">
      <formula>Y30&gt;32</formula>
    </cfRule>
  </conditionalFormatting>
  <conditionalFormatting sqref="Y30">
    <cfRule type="expression" dxfId="904" priority="223">
      <formula>Y30&lt;1</formula>
    </cfRule>
  </conditionalFormatting>
  <conditionalFormatting sqref="Z25:AB25">
    <cfRule type="expression" dxfId="903" priority="221">
      <formula>Z25&lt;51</formula>
    </cfRule>
    <cfRule type="expression" dxfId="902" priority="222">
      <formula>Z25&gt;59</formula>
    </cfRule>
  </conditionalFormatting>
  <conditionalFormatting sqref="Z25:AB25">
    <cfRule type="expression" dxfId="901" priority="220">
      <formula>Z25&lt;1</formula>
    </cfRule>
  </conditionalFormatting>
  <conditionalFormatting sqref="Z26:AB27">
    <cfRule type="expression" dxfId="900" priority="218">
      <formula>Z26&lt;51</formula>
    </cfRule>
    <cfRule type="expression" dxfId="899" priority="219">
      <formula>Z26&gt;59</formula>
    </cfRule>
  </conditionalFormatting>
  <conditionalFormatting sqref="Z26:AB27">
    <cfRule type="expression" dxfId="898" priority="217">
      <formula>Z26&lt;1</formula>
    </cfRule>
  </conditionalFormatting>
  <conditionalFormatting sqref="Z28:AB28">
    <cfRule type="expression" dxfId="897" priority="215">
      <formula>Z28&lt;30</formula>
    </cfRule>
    <cfRule type="expression" dxfId="896" priority="216">
      <formula>Z28&gt;40</formula>
    </cfRule>
  </conditionalFormatting>
  <conditionalFormatting sqref="Z28:AB28">
    <cfRule type="expression" dxfId="895" priority="214">
      <formula>Z28&lt;1</formula>
    </cfRule>
  </conditionalFormatting>
  <conditionalFormatting sqref="Z29:AB29">
    <cfRule type="expression" dxfId="894" priority="212">
      <formula>Z29&lt;26</formula>
    </cfRule>
    <cfRule type="expression" dxfId="893" priority="213">
      <formula>Z29&gt;32</formula>
    </cfRule>
  </conditionalFormatting>
  <conditionalFormatting sqref="Z29:AB29">
    <cfRule type="expression" dxfId="892" priority="211">
      <formula>Z29&lt;1</formula>
    </cfRule>
  </conditionalFormatting>
  <conditionalFormatting sqref="Z30:AB30">
    <cfRule type="expression" dxfId="891" priority="209">
      <formula>Z30&lt;26</formula>
    </cfRule>
    <cfRule type="expression" dxfId="890" priority="210">
      <formula>Z30&gt;32</formula>
    </cfRule>
  </conditionalFormatting>
  <conditionalFormatting sqref="Z30:AB30">
    <cfRule type="expression" dxfId="889" priority="208">
      <formula>Z30&lt;1</formula>
    </cfRule>
  </conditionalFormatting>
  <conditionalFormatting sqref="Z25:AB25">
    <cfRule type="expression" dxfId="888" priority="206">
      <formula>Z25&lt;51</formula>
    </cfRule>
    <cfRule type="expression" dxfId="887" priority="207">
      <formula>Z25&gt;59</formula>
    </cfRule>
  </conditionalFormatting>
  <conditionalFormatting sqref="Z25:AB25">
    <cfRule type="expression" dxfId="886" priority="205">
      <formula>Z25&lt;1</formula>
    </cfRule>
  </conditionalFormatting>
  <conditionalFormatting sqref="Z26:AB27">
    <cfRule type="expression" dxfId="885" priority="203">
      <formula>Z26&lt;51</formula>
    </cfRule>
    <cfRule type="expression" dxfId="884" priority="204">
      <formula>Z26&gt;59</formula>
    </cfRule>
  </conditionalFormatting>
  <conditionalFormatting sqref="Z26:AB27">
    <cfRule type="expression" dxfId="883" priority="202">
      <formula>Z26&lt;1</formula>
    </cfRule>
  </conditionalFormatting>
  <conditionalFormatting sqref="Z28:AB28">
    <cfRule type="expression" dxfId="882" priority="200">
      <formula>Z28&lt;30</formula>
    </cfRule>
    <cfRule type="expression" dxfId="881" priority="201">
      <formula>Z28&gt;40</formula>
    </cfRule>
  </conditionalFormatting>
  <conditionalFormatting sqref="Z28:AB28">
    <cfRule type="expression" dxfId="880" priority="199">
      <formula>Z28&lt;1</formula>
    </cfRule>
  </conditionalFormatting>
  <conditionalFormatting sqref="Z29:AB29">
    <cfRule type="expression" dxfId="879" priority="197">
      <formula>Z29&lt;26</formula>
    </cfRule>
    <cfRule type="expression" dxfId="878" priority="198">
      <formula>Z29&gt;32</formula>
    </cfRule>
  </conditionalFormatting>
  <conditionalFormatting sqref="Z29:AB29">
    <cfRule type="expression" dxfId="877" priority="196">
      <formula>Z29&lt;1</formula>
    </cfRule>
  </conditionalFormatting>
  <conditionalFormatting sqref="Z30:AB30">
    <cfRule type="expression" dxfId="876" priority="194">
      <formula>Z30&lt;26</formula>
    </cfRule>
    <cfRule type="expression" dxfId="875" priority="195">
      <formula>Z30&gt;32</formula>
    </cfRule>
  </conditionalFormatting>
  <conditionalFormatting sqref="Z30:AB30">
    <cfRule type="expression" dxfId="874" priority="193">
      <formula>Z30&lt;1</formula>
    </cfRule>
  </conditionalFormatting>
  <conditionalFormatting sqref="Z31">
    <cfRule type="expression" dxfId="873" priority="191">
      <formula>Z31&lt;170</formula>
    </cfRule>
    <cfRule type="expression" dxfId="872" priority="192">
      <formula>Z31&gt;220</formula>
    </cfRule>
  </conditionalFormatting>
  <conditionalFormatting sqref="Z31">
    <cfRule type="expression" dxfId="871" priority="190">
      <formula>Z31&lt;1</formula>
    </cfRule>
  </conditionalFormatting>
  <conditionalFormatting sqref="AD25:AF25">
    <cfRule type="expression" dxfId="870" priority="188">
      <formula>AD25&lt;51</formula>
    </cfRule>
    <cfRule type="expression" dxfId="869" priority="189">
      <formula>AD25&gt;59</formula>
    </cfRule>
  </conditionalFormatting>
  <conditionalFormatting sqref="AD25:AF25">
    <cfRule type="expression" dxfId="868" priority="187">
      <formula>AD25&lt;1</formula>
    </cfRule>
  </conditionalFormatting>
  <conditionalFormatting sqref="AD26:AF27">
    <cfRule type="expression" dxfId="867" priority="185">
      <formula>AD26&lt;51</formula>
    </cfRule>
    <cfRule type="expression" dxfId="866" priority="186">
      <formula>AD26&gt;59</formula>
    </cfRule>
  </conditionalFormatting>
  <conditionalFormatting sqref="AD26:AF27">
    <cfRule type="expression" dxfId="865" priority="184">
      <formula>AD26&lt;1</formula>
    </cfRule>
  </conditionalFormatting>
  <conditionalFormatting sqref="AD28:AF28">
    <cfRule type="expression" dxfId="864" priority="182">
      <formula>AD28&lt;30</formula>
    </cfRule>
    <cfRule type="expression" dxfId="863" priority="183">
      <formula>AD28&gt;40</formula>
    </cfRule>
  </conditionalFormatting>
  <conditionalFormatting sqref="AD28:AF28">
    <cfRule type="expression" dxfId="862" priority="181">
      <formula>AD28&lt;1</formula>
    </cfRule>
  </conditionalFormatting>
  <conditionalFormatting sqref="AD29:AF29">
    <cfRule type="expression" dxfId="861" priority="179">
      <formula>AD29&lt;26</formula>
    </cfRule>
    <cfRule type="expression" dxfId="860" priority="180">
      <formula>AD29&gt;32</formula>
    </cfRule>
  </conditionalFormatting>
  <conditionalFormatting sqref="AD29:AF29">
    <cfRule type="expression" dxfId="859" priority="178">
      <formula>AD29&lt;1</formula>
    </cfRule>
  </conditionalFormatting>
  <conditionalFormatting sqref="AD30:AF30">
    <cfRule type="expression" dxfId="858" priority="176">
      <formula>AD30&lt;26</formula>
    </cfRule>
    <cfRule type="expression" dxfId="857" priority="177">
      <formula>AD30&gt;32</formula>
    </cfRule>
  </conditionalFormatting>
  <conditionalFormatting sqref="AD30:AF30">
    <cfRule type="expression" dxfId="856" priority="175">
      <formula>AD30&lt;1</formula>
    </cfRule>
  </conditionalFormatting>
  <conditionalFormatting sqref="AD25:AF25">
    <cfRule type="expression" dxfId="855" priority="173">
      <formula>AD25&lt;51</formula>
    </cfRule>
    <cfRule type="expression" dxfId="854" priority="174">
      <formula>AD25&gt;59</formula>
    </cfRule>
  </conditionalFormatting>
  <conditionalFormatting sqref="AD25:AF25">
    <cfRule type="expression" dxfId="853" priority="172">
      <formula>AD25&lt;1</formula>
    </cfRule>
  </conditionalFormatting>
  <conditionalFormatting sqref="AD26:AF27">
    <cfRule type="expression" dxfId="852" priority="170">
      <formula>AD26&lt;51</formula>
    </cfRule>
    <cfRule type="expression" dxfId="851" priority="171">
      <formula>AD26&gt;59</formula>
    </cfRule>
  </conditionalFormatting>
  <conditionalFormatting sqref="AD26:AF27">
    <cfRule type="expression" dxfId="850" priority="169">
      <formula>AD26&lt;1</formula>
    </cfRule>
  </conditionalFormatting>
  <conditionalFormatting sqref="AD28:AF28">
    <cfRule type="expression" dxfId="849" priority="167">
      <formula>AD28&lt;30</formula>
    </cfRule>
    <cfRule type="expression" dxfId="848" priority="168">
      <formula>AD28&gt;40</formula>
    </cfRule>
  </conditionalFormatting>
  <conditionalFormatting sqref="AD28:AF28">
    <cfRule type="expression" dxfId="847" priority="166">
      <formula>AD28&lt;1</formula>
    </cfRule>
  </conditionalFormatting>
  <conditionalFormatting sqref="AD29:AF29">
    <cfRule type="expression" dxfId="846" priority="164">
      <formula>AD29&lt;26</formula>
    </cfRule>
    <cfRule type="expression" dxfId="845" priority="165">
      <formula>AD29&gt;32</formula>
    </cfRule>
  </conditionalFormatting>
  <conditionalFormatting sqref="AD29:AF29">
    <cfRule type="expression" dxfId="844" priority="163">
      <formula>AD29&lt;1</formula>
    </cfRule>
  </conditionalFormatting>
  <conditionalFormatting sqref="AD30:AF30">
    <cfRule type="expression" dxfId="843" priority="161">
      <formula>AD30&lt;26</formula>
    </cfRule>
    <cfRule type="expression" dxfId="842" priority="162">
      <formula>AD30&gt;32</formula>
    </cfRule>
  </conditionalFormatting>
  <conditionalFormatting sqref="AD30:AF30">
    <cfRule type="expression" dxfId="841" priority="160">
      <formula>AD30&lt;1</formula>
    </cfRule>
  </conditionalFormatting>
  <conditionalFormatting sqref="AD31">
    <cfRule type="expression" dxfId="840" priority="158">
      <formula>AD31&lt;170</formula>
    </cfRule>
    <cfRule type="expression" dxfId="839" priority="159">
      <formula>AD31&gt;220</formula>
    </cfRule>
  </conditionalFormatting>
  <conditionalFormatting sqref="AD31">
    <cfRule type="expression" dxfId="838" priority="157">
      <formula>AD31&lt;1</formula>
    </cfRule>
  </conditionalFormatting>
  <conditionalFormatting sqref="AC25">
    <cfRule type="expression" dxfId="837" priority="155">
      <formula>AC25&lt;51</formula>
    </cfRule>
    <cfRule type="expression" dxfId="836" priority="156">
      <formula>AC25&gt;59</formula>
    </cfRule>
  </conditionalFormatting>
  <conditionalFormatting sqref="AC25">
    <cfRule type="expression" dxfId="835" priority="154">
      <formula>AC25&lt;1</formula>
    </cfRule>
  </conditionalFormatting>
  <conditionalFormatting sqref="AC26:AC27">
    <cfRule type="expression" dxfId="834" priority="152">
      <formula>AC26&lt;51</formula>
    </cfRule>
    <cfRule type="expression" dxfId="833" priority="153">
      <formula>AC26&gt;59</formula>
    </cfRule>
  </conditionalFormatting>
  <conditionalFormatting sqref="AC26:AC27">
    <cfRule type="expression" dxfId="832" priority="151">
      <formula>AC26&lt;1</formula>
    </cfRule>
  </conditionalFormatting>
  <conditionalFormatting sqref="AC28">
    <cfRule type="expression" dxfId="831" priority="149">
      <formula>AC28&lt;30</formula>
    </cfRule>
    <cfRule type="expression" dxfId="830" priority="150">
      <formula>AC28&gt;40</formula>
    </cfRule>
  </conditionalFormatting>
  <conditionalFormatting sqref="AC28">
    <cfRule type="expression" dxfId="829" priority="148">
      <formula>AC28&lt;1</formula>
    </cfRule>
  </conditionalFormatting>
  <conditionalFormatting sqref="AC29">
    <cfRule type="expression" dxfId="828" priority="146">
      <formula>AC29&lt;26</formula>
    </cfRule>
    <cfRule type="expression" dxfId="827" priority="147">
      <formula>AC29&gt;32</formula>
    </cfRule>
  </conditionalFormatting>
  <conditionalFormatting sqref="AC29">
    <cfRule type="expression" dxfId="826" priority="145">
      <formula>AC29&lt;1</formula>
    </cfRule>
  </conditionalFormatting>
  <conditionalFormatting sqref="AC30">
    <cfRule type="expression" dxfId="825" priority="143">
      <formula>AC30&lt;26</formula>
    </cfRule>
    <cfRule type="expression" dxfId="824" priority="144">
      <formula>AC30&gt;32</formula>
    </cfRule>
  </conditionalFormatting>
  <conditionalFormatting sqref="AC30">
    <cfRule type="expression" dxfId="823" priority="142">
      <formula>AC30&lt;1</formula>
    </cfRule>
  </conditionalFormatting>
  <conditionalFormatting sqref="Y25">
    <cfRule type="expression" dxfId="822" priority="140">
      <formula>Y25&lt;51</formula>
    </cfRule>
    <cfRule type="expression" dxfId="821" priority="141">
      <formula>Y25&gt;59</formula>
    </cfRule>
  </conditionalFormatting>
  <conditionalFormatting sqref="Y25">
    <cfRule type="expression" dxfId="820" priority="139">
      <formula>Y25&lt;1</formula>
    </cfRule>
  </conditionalFormatting>
  <conditionalFormatting sqref="Y26:Y27">
    <cfRule type="expression" dxfId="819" priority="137">
      <formula>Y26&lt;51</formula>
    </cfRule>
    <cfRule type="expression" dxfId="818" priority="138">
      <formula>Y26&gt;59</formula>
    </cfRule>
  </conditionalFormatting>
  <conditionalFormatting sqref="Y26:Y27">
    <cfRule type="expression" dxfId="817" priority="136">
      <formula>Y26&lt;1</formula>
    </cfRule>
  </conditionalFormatting>
  <conditionalFormatting sqref="Y28">
    <cfRule type="expression" dxfId="816" priority="134">
      <formula>Y28&lt;30</formula>
    </cfRule>
    <cfRule type="expression" dxfId="815" priority="135">
      <formula>Y28&gt;40</formula>
    </cfRule>
  </conditionalFormatting>
  <conditionalFormatting sqref="Y28">
    <cfRule type="expression" dxfId="814" priority="133">
      <formula>Y28&lt;1</formula>
    </cfRule>
  </conditionalFormatting>
  <conditionalFormatting sqref="Y29">
    <cfRule type="expression" dxfId="813" priority="131">
      <formula>Y29&lt;26</formula>
    </cfRule>
    <cfRule type="expression" dxfId="812" priority="132">
      <formula>Y29&gt;32</formula>
    </cfRule>
  </conditionalFormatting>
  <conditionalFormatting sqref="Y29">
    <cfRule type="expression" dxfId="811" priority="130">
      <formula>Y29&lt;1</formula>
    </cfRule>
  </conditionalFormatting>
  <conditionalFormatting sqref="Y30">
    <cfRule type="expression" dxfId="810" priority="128">
      <formula>Y30&lt;26</formula>
    </cfRule>
    <cfRule type="expression" dxfId="809" priority="129">
      <formula>Y30&gt;32</formula>
    </cfRule>
  </conditionalFormatting>
  <conditionalFormatting sqref="Y30">
    <cfRule type="expression" dxfId="808" priority="127">
      <formula>Y30&lt;1</formula>
    </cfRule>
  </conditionalFormatting>
  <conditionalFormatting sqref="Z25:AB25">
    <cfRule type="expression" dxfId="807" priority="125">
      <formula>Z25&lt;51</formula>
    </cfRule>
    <cfRule type="expression" dxfId="806" priority="126">
      <formula>Z25&gt;59</formula>
    </cfRule>
  </conditionalFormatting>
  <conditionalFormatting sqref="Z25:AB25">
    <cfRule type="expression" dxfId="805" priority="124">
      <formula>Z25&lt;1</formula>
    </cfRule>
  </conditionalFormatting>
  <conditionalFormatting sqref="Z26:AB27">
    <cfRule type="expression" dxfId="804" priority="122">
      <formula>Z26&lt;51</formula>
    </cfRule>
    <cfRule type="expression" dxfId="803" priority="123">
      <formula>Z26&gt;59</formula>
    </cfRule>
  </conditionalFormatting>
  <conditionalFormatting sqref="Z26:AB27">
    <cfRule type="expression" dxfId="802" priority="121">
      <formula>Z26&lt;1</formula>
    </cfRule>
  </conditionalFormatting>
  <conditionalFormatting sqref="Z28:AB28">
    <cfRule type="expression" dxfId="801" priority="119">
      <formula>Z28&lt;30</formula>
    </cfRule>
    <cfRule type="expression" dxfId="800" priority="120">
      <formula>Z28&gt;40</formula>
    </cfRule>
  </conditionalFormatting>
  <conditionalFormatting sqref="Z28:AB28">
    <cfRule type="expression" dxfId="799" priority="118">
      <formula>Z28&lt;1</formula>
    </cfRule>
  </conditionalFormatting>
  <conditionalFormatting sqref="Z29:AB29">
    <cfRule type="expression" dxfId="798" priority="116">
      <formula>Z29&lt;26</formula>
    </cfRule>
    <cfRule type="expression" dxfId="797" priority="117">
      <formula>Z29&gt;32</formula>
    </cfRule>
  </conditionalFormatting>
  <conditionalFormatting sqref="Z29:AB29">
    <cfRule type="expression" dxfId="796" priority="115">
      <formula>Z29&lt;1</formula>
    </cfRule>
  </conditionalFormatting>
  <conditionalFormatting sqref="Z30:AB30">
    <cfRule type="expression" dxfId="795" priority="113">
      <formula>Z30&lt;26</formula>
    </cfRule>
    <cfRule type="expression" dxfId="794" priority="114">
      <formula>Z30&gt;32</formula>
    </cfRule>
  </conditionalFormatting>
  <conditionalFormatting sqref="Z30:AB30">
    <cfRule type="expression" dxfId="793" priority="112">
      <formula>Z30&lt;1</formula>
    </cfRule>
  </conditionalFormatting>
  <conditionalFormatting sqref="Z25:AB25">
    <cfRule type="expression" dxfId="792" priority="110">
      <formula>Z25&lt;51</formula>
    </cfRule>
    <cfRule type="expression" dxfId="791" priority="111">
      <formula>Z25&gt;59</formula>
    </cfRule>
  </conditionalFormatting>
  <conditionalFormatting sqref="Z25:AB25">
    <cfRule type="expression" dxfId="790" priority="109">
      <formula>Z25&lt;1</formula>
    </cfRule>
  </conditionalFormatting>
  <conditionalFormatting sqref="Z26:AB27">
    <cfRule type="expression" dxfId="789" priority="107">
      <formula>Z26&lt;51</formula>
    </cfRule>
    <cfRule type="expression" dxfId="788" priority="108">
      <formula>Z26&gt;59</formula>
    </cfRule>
  </conditionalFormatting>
  <conditionalFormatting sqref="Z26:AB27">
    <cfRule type="expression" dxfId="787" priority="106">
      <formula>Z26&lt;1</formula>
    </cfRule>
  </conditionalFormatting>
  <conditionalFormatting sqref="Z28:AB28">
    <cfRule type="expression" dxfId="786" priority="104">
      <formula>Z28&lt;30</formula>
    </cfRule>
    <cfRule type="expression" dxfId="785" priority="105">
      <formula>Z28&gt;40</formula>
    </cfRule>
  </conditionalFormatting>
  <conditionalFormatting sqref="Z28:AB28">
    <cfRule type="expression" dxfId="784" priority="103">
      <formula>Z28&lt;1</formula>
    </cfRule>
  </conditionalFormatting>
  <conditionalFormatting sqref="Z29:AB29">
    <cfRule type="expression" dxfId="783" priority="101">
      <formula>Z29&lt;26</formula>
    </cfRule>
    <cfRule type="expression" dxfId="782" priority="102">
      <formula>Z29&gt;32</formula>
    </cfRule>
  </conditionalFormatting>
  <conditionalFormatting sqref="Z29:AB29">
    <cfRule type="expression" dxfId="781" priority="100">
      <formula>Z29&lt;1</formula>
    </cfRule>
  </conditionalFormatting>
  <conditionalFormatting sqref="Z30:AB30">
    <cfRule type="expression" dxfId="780" priority="98">
      <formula>Z30&lt;26</formula>
    </cfRule>
    <cfRule type="expression" dxfId="779" priority="99">
      <formula>Z30&gt;32</formula>
    </cfRule>
  </conditionalFormatting>
  <conditionalFormatting sqref="Z30:AB30">
    <cfRule type="expression" dxfId="778" priority="97">
      <formula>Z30&lt;1</formula>
    </cfRule>
  </conditionalFormatting>
  <conditionalFormatting sqref="Z31">
    <cfRule type="expression" dxfId="777" priority="95">
      <formula>Z31&lt;170</formula>
    </cfRule>
    <cfRule type="expression" dxfId="776" priority="96">
      <formula>Z31&gt;220</formula>
    </cfRule>
  </conditionalFormatting>
  <conditionalFormatting sqref="Z31">
    <cfRule type="expression" dxfId="775" priority="94">
      <formula>Z31&lt;1</formula>
    </cfRule>
  </conditionalFormatting>
  <conditionalFormatting sqref="AD25:AF25">
    <cfRule type="expression" dxfId="774" priority="92">
      <formula>AD25&lt;51</formula>
    </cfRule>
    <cfRule type="expression" dxfId="773" priority="93">
      <formula>AD25&gt;59</formula>
    </cfRule>
  </conditionalFormatting>
  <conditionalFormatting sqref="AD25:AF25">
    <cfRule type="expression" dxfId="772" priority="91">
      <formula>AD25&lt;1</formula>
    </cfRule>
  </conditionalFormatting>
  <conditionalFormatting sqref="AD26:AF27">
    <cfRule type="expression" dxfId="771" priority="89">
      <formula>AD26&lt;51</formula>
    </cfRule>
    <cfRule type="expression" dxfId="770" priority="90">
      <formula>AD26&gt;59</formula>
    </cfRule>
  </conditionalFormatting>
  <conditionalFormatting sqref="AD26:AF27">
    <cfRule type="expression" dxfId="769" priority="88">
      <formula>AD26&lt;1</formula>
    </cfRule>
  </conditionalFormatting>
  <conditionalFormatting sqref="AD28:AF28">
    <cfRule type="expression" dxfId="768" priority="86">
      <formula>AD28&lt;30</formula>
    </cfRule>
    <cfRule type="expression" dxfId="767" priority="87">
      <formula>AD28&gt;40</formula>
    </cfRule>
  </conditionalFormatting>
  <conditionalFormatting sqref="AD28:AF28">
    <cfRule type="expression" dxfId="766" priority="85">
      <formula>AD28&lt;1</formula>
    </cfRule>
  </conditionalFormatting>
  <conditionalFormatting sqref="AD29:AF29">
    <cfRule type="expression" dxfId="765" priority="83">
      <formula>AD29&lt;26</formula>
    </cfRule>
    <cfRule type="expression" dxfId="764" priority="84">
      <formula>AD29&gt;32</formula>
    </cfRule>
  </conditionalFormatting>
  <conditionalFormatting sqref="AD29:AF29">
    <cfRule type="expression" dxfId="763" priority="82">
      <formula>AD29&lt;1</formula>
    </cfRule>
  </conditionalFormatting>
  <conditionalFormatting sqref="AD30:AF30">
    <cfRule type="expression" dxfId="762" priority="80">
      <formula>AD30&lt;26</formula>
    </cfRule>
    <cfRule type="expression" dxfId="761" priority="81">
      <formula>AD30&gt;32</formula>
    </cfRule>
  </conditionalFormatting>
  <conditionalFormatting sqref="AD30:AF30">
    <cfRule type="expression" dxfId="760" priority="79">
      <formula>AD30&lt;1</formula>
    </cfRule>
  </conditionalFormatting>
  <conditionalFormatting sqref="AD25:AF25">
    <cfRule type="expression" dxfId="759" priority="77">
      <formula>AD25&lt;51</formula>
    </cfRule>
    <cfRule type="expression" dxfId="758" priority="78">
      <formula>AD25&gt;59</formula>
    </cfRule>
  </conditionalFormatting>
  <conditionalFormatting sqref="AD25:AF25">
    <cfRule type="expression" dxfId="757" priority="76">
      <formula>AD25&lt;1</formula>
    </cfRule>
  </conditionalFormatting>
  <conditionalFormatting sqref="AD26:AF27">
    <cfRule type="expression" dxfId="756" priority="74">
      <formula>AD26&lt;51</formula>
    </cfRule>
    <cfRule type="expression" dxfId="755" priority="75">
      <formula>AD26&gt;59</formula>
    </cfRule>
  </conditionalFormatting>
  <conditionalFormatting sqref="AD26:AF27">
    <cfRule type="expression" dxfId="754" priority="73">
      <formula>AD26&lt;1</formula>
    </cfRule>
  </conditionalFormatting>
  <conditionalFormatting sqref="AD28:AF28">
    <cfRule type="expression" dxfId="753" priority="71">
      <formula>AD28&lt;30</formula>
    </cfRule>
    <cfRule type="expression" dxfId="752" priority="72">
      <formula>AD28&gt;40</formula>
    </cfRule>
  </conditionalFormatting>
  <conditionalFormatting sqref="AD28:AF28">
    <cfRule type="expression" dxfId="751" priority="70">
      <formula>AD28&lt;1</formula>
    </cfRule>
  </conditionalFormatting>
  <conditionalFormatting sqref="AD29:AF29">
    <cfRule type="expression" dxfId="750" priority="68">
      <formula>AD29&lt;26</formula>
    </cfRule>
    <cfRule type="expression" dxfId="749" priority="69">
      <formula>AD29&gt;32</formula>
    </cfRule>
  </conditionalFormatting>
  <conditionalFormatting sqref="AD29:AF29">
    <cfRule type="expression" dxfId="748" priority="67">
      <formula>AD29&lt;1</formula>
    </cfRule>
  </conditionalFormatting>
  <conditionalFormatting sqref="AD30:AF30">
    <cfRule type="expression" dxfId="747" priority="65">
      <formula>AD30&lt;26</formula>
    </cfRule>
    <cfRule type="expression" dxfId="746" priority="66">
      <formula>AD30&gt;32</formula>
    </cfRule>
  </conditionalFormatting>
  <conditionalFormatting sqref="AD30:AF30">
    <cfRule type="expression" dxfId="745" priority="64">
      <formula>AD30&lt;1</formula>
    </cfRule>
  </conditionalFormatting>
  <conditionalFormatting sqref="AD31">
    <cfRule type="expression" dxfId="744" priority="62">
      <formula>AD31&lt;170</formula>
    </cfRule>
    <cfRule type="expression" dxfId="743" priority="63">
      <formula>AD31&gt;220</formula>
    </cfRule>
  </conditionalFormatting>
  <conditionalFormatting sqref="AD31">
    <cfRule type="expression" dxfId="742" priority="61">
      <formula>AD31&lt;1</formula>
    </cfRule>
  </conditionalFormatting>
  <conditionalFormatting sqref="Y10">
    <cfRule type="expression" dxfId="741" priority="29">
      <formula>Y10&lt;5</formula>
    </cfRule>
    <cfRule type="expression" dxfId="740" priority="30">
      <formula>Y10&gt;15</formula>
    </cfRule>
  </conditionalFormatting>
  <conditionalFormatting sqref="Y11">
    <cfRule type="expression" dxfId="739" priority="28">
      <formula>Y11&gt;1.5</formula>
    </cfRule>
  </conditionalFormatting>
  <conditionalFormatting sqref="Y12">
    <cfRule type="expression" dxfId="738" priority="26">
      <formula>Y12&lt;20</formula>
    </cfRule>
    <cfRule type="expression" dxfId="737" priority="27">
      <formula>Y12&gt;25</formula>
    </cfRule>
  </conditionalFormatting>
  <conditionalFormatting sqref="AC10">
    <cfRule type="expression" dxfId="736" priority="24">
      <formula>AC10&lt;5</formula>
    </cfRule>
    <cfRule type="expression" dxfId="735" priority="25">
      <formula>AC10&gt;15</formula>
    </cfRule>
  </conditionalFormatting>
  <conditionalFormatting sqref="AC11">
    <cfRule type="expression" dxfId="734" priority="23">
      <formula>AC11&gt;1.5</formula>
    </cfRule>
  </conditionalFormatting>
  <conditionalFormatting sqref="AC12">
    <cfRule type="expression" dxfId="733" priority="21">
      <formula>AC12&lt;20</formula>
    </cfRule>
    <cfRule type="expression" dxfId="732" priority="22">
      <formula>AC12&gt;25</formula>
    </cfRule>
  </conditionalFormatting>
  <conditionalFormatting sqref="Y7">
    <cfRule type="expression" dxfId="731" priority="19">
      <formula>Y7&lt;10</formula>
    </cfRule>
    <cfRule type="expression" dxfId="730" priority="20">
      <formula>Y7&gt;20</formula>
    </cfRule>
  </conditionalFormatting>
  <conditionalFormatting sqref="AC7">
    <cfRule type="expression" dxfId="729" priority="17">
      <formula>AC7&lt;10</formula>
    </cfRule>
    <cfRule type="expression" dxfId="728" priority="18">
      <formula>AC7&gt;20</formula>
    </cfRule>
  </conditionalFormatting>
  <conditionalFormatting sqref="Y8">
    <cfRule type="cellIs" dxfId="727" priority="13" operator="between">
      <formula>40</formula>
      <formula>44.99</formula>
    </cfRule>
    <cfRule type="cellIs" dxfId="726" priority="14" operator="between">
      <formula>55.1</formula>
      <formula>60</formula>
    </cfRule>
    <cfRule type="expression" dxfId="725" priority="15">
      <formula>Y8&lt;40</formula>
    </cfRule>
    <cfRule type="expression" dxfId="724" priority="16">
      <formula>Y8&gt;60</formula>
    </cfRule>
  </conditionalFormatting>
  <conditionalFormatting sqref="Y9">
    <cfRule type="cellIs" dxfId="723" priority="9" operator="between">
      <formula>40</formula>
      <formula>44.99</formula>
    </cfRule>
    <cfRule type="cellIs" dxfId="722" priority="10" operator="between">
      <formula>55.1</formula>
      <formula>60</formula>
    </cfRule>
    <cfRule type="expression" dxfId="721" priority="11">
      <formula>Y9&lt;40</formula>
    </cfRule>
    <cfRule type="expression" dxfId="720" priority="12">
      <formula>Y9&gt;60</formula>
    </cfRule>
  </conditionalFormatting>
  <conditionalFormatting sqref="AC8">
    <cfRule type="cellIs" dxfId="719" priority="5" operator="between">
      <formula>40</formula>
      <formula>44.99</formula>
    </cfRule>
    <cfRule type="cellIs" dxfId="718" priority="6" operator="between">
      <formula>55.1</formula>
      <formula>60</formula>
    </cfRule>
    <cfRule type="expression" dxfId="717" priority="7">
      <formula>AC8&lt;40</formula>
    </cfRule>
    <cfRule type="expression" dxfId="716" priority="8">
      <formula>AC8&gt;60</formula>
    </cfRule>
  </conditionalFormatting>
  <conditionalFormatting sqref="AC9">
    <cfRule type="cellIs" dxfId="715" priority="1" operator="between">
      <formula>40</formula>
      <formula>44.99</formula>
    </cfRule>
    <cfRule type="cellIs" dxfId="714" priority="2" operator="between">
      <formula>55.1</formula>
      <formula>60</formula>
    </cfRule>
    <cfRule type="expression" dxfId="713" priority="3">
      <formula>AC9&lt;40</formula>
    </cfRule>
    <cfRule type="expression" dxfId="712" priority="4">
      <formula>AC9&gt;60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473" customWidth="1"/>
    <col min="2" max="2" width="20.5" style="523" customWidth="1"/>
    <col min="3" max="3" width="5" style="523" customWidth="1"/>
    <col min="4" max="4" width="7.625" style="473" customWidth="1"/>
    <col min="5" max="5" width="13.625" style="473" customWidth="1"/>
    <col min="6" max="6" width="8.75" style="473" customWidth="1"/>
    <col min="7" max="7" width="2.375" style="473" customWidth="1"/>
    <col min="8" max="8" width="7.25" style="524" customWidth="1"/>
    <col min="9" max="9" width="3.125" style="524" customWidth="1"/>
    <col min="10" max="10" width="8.125" style="524" customWidth="1"/>
    <col min="11" max="11" width="2.5" style="524" customWidth="1"/>
    <col min="12" max="12" width="6.5" style="524" customWidth="1"/>
    <col min="13" max="13" width="3.75" style="524" customWidth="1"/>
    <col min="14" max="14" width="8.125" style="524" customWidth="1"/>
    <col min="15" max="15" width="2.5" style="524" customWidth="1"/>
    <col min="16" max="16" width="6.5" style="524" customWidth="1"/>
    <col min="17" max="17" width="3.75" style="524" customWidth="1"/>
    <col min="18" max="18" width="7.375" style="472" customWidth="1"/>
    <col min="19" max="19" width="5.75" style="472" customWidth="1"/>
    <col min="20" max="16384" width="9" style="473"/>
  </cols>
  <sheetData>
    <row r="1" spans="1:19" ht="33" customHeight="1">
      <c r="A1" s="3635" t="s">
        <v>585</v>
      </c>
      <c r="B1" s="3635"/>
      <c r="C1" s="3635"/>
      <c r="D1" s="3635"/>
      <c r="E1" s="3635"/>
      <c r="F1" s="3635"/>
      <c r="G1" s="3635"/>
      <c r="H1" s="3635"/>
      <c r="I1" s="3635"/>
      <c r="J1" s="3635"/>
      <c r="K1" s="3635"/>
      <c r="L1" s="3635"/>
      <c r="M1" s="3635"/>
      <c r="N1" s="3635"/>
      <c r="O1" s="3635"/>
      <c r="P1" s="600"/>
      <c r="Q1" s="600"/>
    </row>
    <row r="2" spans="1:19" ht="39.75" customHeight="1">
      <c r="A2" s="3636" t="s">
        <v>908</v>
      </c>
      <c r="B2" s="3636"/>
      <c r="C2" s="3636"/>
      <c r="D2" s="3636"/>
      <c r="E2" s="3636"/>
      <c r="F2" s="3636"/>
      <c r="G2" s="3636"/>
      <c r="H2" s="3636"/>
      <c r="I2" s="3636"/>
      <c r="J2" s="3636"/>
      <c r="K2" s="3636"/>
      <c r="L2" s="3636"/>
      <c r="M2" s="3636"/>
      <c r="N2" s="3636"/>
      <c r="O2" s="3784"/>
      <c r="P2" s="3637" t="s">
        <v>586</v>
      </c>
      <c r="Q2" s="3638"/>
      <c r="R2" s="3639" t="s">
        <v>587</v>
      </c>
      <c r="S2" s="3640"/>
    </row>
    <row r="3" spans="1:19" ht="22.5" customHeight="1">
      <c r="A3" s="475"/>
      <c r="B3" s="476" t="s">
        <v>721</v>
      </c>
      <c r="C3" s="476"/>
      <c r="D3" s="1814" t="str">
        <f>MENU!$AC$9</f>
        <v>Thứ 5,</v>
      </c>
      <c r="E3" s="3785" t="str">
        <f>'1.xi den'!$G$3</f>
        <v>2024/08/01</v>
      </c>
      <c r="F3" s="3785"/>
      <c r="G3" s="475"/>
      <c r="H3" s="475"/>
      <c r="I3" s="475"/>
      <c r="J3" s="479"/>
      <c r="K3" s="479"/>
      <c r="L3" s="479"/>
      <c r="M3" s="479"/>
      <c r="N3" s="479"/>
      <c r="O3" s="479"/>
      <c r="P3" s="3641" t="str">
        <f>'1.xi den'!$R$3</f>
        <v>L.Yen</v>
      </c>
      <c r="Q3" s="3642"/>
      <c r="R3" s="3643" t="s">
        <v>589</v>
      </c>
      <c r="S3" s="3644"/>
    </row>
    <row r="4" spans="1:19" s="481" customFormat="1" ht="33" customHeight="1">
      <c r="A4" s="3655" t="s">
        <v>590</v>
      </c>
      <c r="B4" s="3450" t="s">
        <v>641</v>
      </c>
      <c r="C4" s="3786"/>
      <c r="D4" s="3687" t="s">
        <v>642</v>
      </c>
      <c r="E4" s="3659" t="s">
        <v>592</v>
      </c>
      <c r="F4" s="3661" t="s">
        <v>593</v>
      </c>
      <c r="G4" s="3662"/>
      <c r="H4" s="3662"/>
      <c r="I4" s="3662"/>
      <c r="J4" s="3662"/>
      <c r="K4" s="3662"/>
      <c r="L4" s="3662"/>
      <c r="M4" s="3662"/>
      <c r="N4" s="3662"/>
      <c r="O4" s="3662"/>
      <c r="P4" s="3662"/>
      <c r="Q4" s="3663"/>
      <c r="R4" s="3645" t="s">
        <v>594</v>
      </c>
      <c r="S4" s="3645"/>
    </row>
    <row r="5" spans="1:19" s="481" customFormat="1" ht="15.75" customHeight="1">
      <c r="A5" s="3656"/>
      <c r="B5" s="3506"/>
      <c r="C5" s="3787"/>
      <c r="D5" s="3687"/>
      <c r="E5" s="3659"/>
      <c r="F5" s="3646">
        <v>0.375</v>
      </c>
      <c r="G5" s="3647"/>
      <c r="H5" s="3647"/>
      <c r="I5" s="3647"/>
      <c r="J5" s="3648">
        <v>0.5625</v>
      </c>
      <c r="K5" s="3649"/>
      <c r="L5" s="3649"/>
      <c r="M5" s="3650"/>
      <c r="N5" s="3648">
        <v>0.72916666666666663</v>
      </c>
      <c r="O5" s="3649"/>
      <c r="P5" s="3649"/>
      <c r="Q5" s="3650"/>
      <c r="R5" s="3645"/>
      <c r="S5" s="3645"/>
    </row>
    <row r="6" spans="1:19" s="481" customFormat="1" ht="44.25" customHeight="1">
      <c r="A6" s="3657"/>
      <c r="B6" s="3788"/>
      <c r="C6" s="3789"/>
      <c r="D6" s="3688"/>
      <c r="E6" s="3660"/>
      <c r="F6" s="483" t="s">
        <v>595</v>
      </c>
      <c r="G6" s="3651" t="s">
        <v>596</v>
      </c>
      <c r="H6" s="3652"/>
      <c r="I6" s="3653"/>
      <c r="J6" s="483" t="s">
        <v>595</v>
      </c>
      <c r="K6" s="3664" t="s">
        <v>596</v>
      </c>
      <c r="L6" s="3665"/>
      <c r="M6" s="3666"/>
      <c r="N6" s="483" t="s">
        <v>595</v>
      </c>
      <c r="O6" s="3664" t="s">
        <v>596</v>
      </c>
      <c r="P6" s="3665"/>
      <c r="Q6" s="3666"/>
      <c r="R6" s="3654" t="s">
        <v>597</v>
      </c>
      <c r="S6" s="3654"/>
    </row>
    <row r="7" spans="1:19" ht="29.25" customHeight="1">
      <c r="A7" s="482">
        <v>1</v>
      </c>
      <c r="B7" s="3627" t="s">
        <v>398</v>
      </c>
      <c r="C7" s="3629"/>
      <c r="D7" s="534" t="s">
        <v>654</v>
      </c>
      <c r="E7" s="484" t="s">
        <v>600</v>
      </c>
      <c r="F7" s="601">
        <f>'R.GUI MAIL'!H6</f>
        <v>0</v>
      </c>
      <c r="G7" s="488" t="s">
        <v>601</v>
      </c>
      <c r="H7" s="489">
        <f>'R.GUI MAIL'!K6</f>
        <v>0</v>
      </c>
      <c r="I7" s="482" t="s">
        <v>10</v>
      </c>
      <c r="J7" s="601">
        <f>'R.GUI MAIL'!N6</f>
        <v>0</v>
      </c>
      <c r="K7" s="488" t="s">
        <v>601</v>
      </c>
      <c r="L7" s="489">
        <f>'R.GUI MAIL'!Q6</f>
        <v>0</v>
      </c>
      <c r="M7" s="482" t="s">
        <v>10</v>
      </c>
      <c r="N7" s="601">
        <f>'R.GUI MAIL'!T6</f>
        <v>0</v>
      </c>
      <c r="O7" s="488" t="s">
        <v>601</v>
      </c>
      <c r="P7" s="489">
        <f>'R.GUI MAIL'!W6</f>
        <v>0</v>
      </c>
      <c r="Q7" s="482" t="s">
        <v>10</v>
      </c>
      <c r="R7" s="3667" t="s">
        <v>602</v>
      </c>
      <c r="S7" s="3667"/>
    </row>
    <row r="8" spans="1:19" ht="26.25" hidden="1" customHeight="1">
      <c r="A8" s="482"/>
      <c r="B8" s="3627" t="s">
        <v>399</v>
      </c>
      <c r="C8" s="3629"/>
      <c r="D8" s="534" t="s">
        <v>654</v>
      </c>
      <c r="E8" s="484" t="s">
        <v>600</v>
      </c>
      <c r="F8" s="491">
        <f>'R.GUI MAIL'!H7</f>
        <v>0</v>
      </c>
      <c r="G8" s="492" t="s">
        <v>601</v>
      </c>
      <c r="H8" s="493">
        <f>'R.GUI MAIL'!K7</f>
        <v>292.1875</v>
      </c>
      <c r="I8" s="209" t="s">
        <v>10</v>
      </c>
      <c r="J8" s="491">
        <f>'R.GUI MAIL'!N7</f>
        <v>0</v>
      </c>
      <c r="K8" s="492" t="s">
        <v>601</v>
      </c>
      <c r="L8" s="493">
        <f>'R.GUI MAIL'!Q7</f>
        <v>292.1875</v>
      </c>
      <c r="M8" s="209" t="s">
        <v>10</v>
      </c>
      <c r="N8" s="491">
        <f>'R.GUI MAIL'!T7</f>
        <v>0</v>
      </c>
      <c r="O8" s="492" t="s">
        <v>601</v>
      </c>
      <c r="P8" s="493">
        <f>'R.GUI MAIL'!W7</f>
        <v>292.1875</v>
      </c>
      <c r="Q8" s="209" t="s">
        <v>10</v>
      </c>
      <c r="R8" s="3667" t="s">
        <v>602</v>
      </c>
      <c r="S8" s="3667"/>
    </row>
    <row r="9" spans="1:19" ht="29.25" customHeight="1">
      <c r="A9" s="482">
        <v>2</v>
      </c>
      <c r="B9" s="3790" t="s">
        <v>685</v>
      </c>
      <c r="C9" s="3793">
        <f>R.HN!B4</f>
        <v>3</v>
      </c>
      <c r="D9" s="3697" t="s">
        <v>429</v>
      </c>
      <c r="E9" s="484" t="s">
        <v>722</v>
      </c>
      <c r="F9" s="601">
        <f>'R.GUI MAIL'!H8</f>
        <v>0</v>
      </c>
      <c r="G9" s="488" t="s">
        <v>606</v>
      </c>
      <c r="H9" s="489">
        <f>'R.GUI MAIL'!K8</f>
        <v>0</v>
      </c>
      <c r="I9" s="482" t="s">
        <v>607</v>
      </c>
      <c r="J9" s="601">
        <f>'R.GUI MAIL'!N8</f>
        <v>0</v>
      </c>
      <c r="K9" s="488" t="s">
        <v>606</v>
      </c>
      <c r="L9" s="489">
        <f>'R.GUI MAIL'!Q8</f>
        <v>0</v>
      </c>
      <c r="M9" s="482" t="s">
        <v>607</v>
      </c>
      <c r="N9" s="601">
        <f>'R.GUI MAIL'!T8</f>
        <v>0</v>
      </c>
      <c r="O9" s="488" t="s">
        <v>606</v>
      </c>
      <c r="P9" s="489">
        <f>'R.GUI MAIL'!W8</f>
        <v>0</v>
      </c>
      <c r="Q9" s="482" t="s">
        <v>607</v>
      </c>
      <c r="R9" s="3667" t="s">
        <v>608</v>
      </c>
      <c r="S9" s="3667"/>
    </row>
    <row r="10" spans="1:19" ht="29.25" customHeight="1">
      <c r="A10" s="482">
        <v>3</v>
      </c>
      <c r="B10" s="3791"/>
      <c r="C10" s="3794"/>
      <c r="D10" s="3697"/>
      <c r="E10" s="484" t="s">
        <v>723</v>
      </c>
      <c r="F10" s="601">
        <f>'R.GUI MAIL'!H9</f>
        <v>0</v>
      </c>
      <c r="G10" s="488" t="s">
        <v>606</v>
      </c>
      <c r="H10" s="489">
        <f>'R.GUI MAIL'!K9</f>
        <v>0</v>
      </c>
      <c r="I10" s="482" t="s">
        <v>607</v>
      </c>
      <c r="J10" s="601">
        <f>'R.GUI MAIL'!N9</f>
        <v>0</v>
      </c>
      <c r="K10" s="488" t="s">
        <v>606</v>
      </c>
      <c r="L10" s="489">
        <f>'R.GUI MAIL'!Q9</f>
        <v>0</v>
      </c>
      <c r="M10" s="482" t="s">
        <v>607</v>
      </c>
      <c r="N10" s="601">
        <f>'R.GUI MAIL'!T9</f>
        <v>0</v>
      </c>
      <c r="O10" s="488" t="s">
        <v>606</v>
      </c>
      <c r="P10" s="489">
        <f>'R.GUI MAIL'!W9</f>
        <v>0</v>
      </c>
      <c r="Q10" s="482" t="s">
        <v>607</v>
      </c>
      <c r="R10" s="3667" t="s">
        <v>610</v>
      </c>
      <c r="S10" s="3667"/>
    </row>
    <row r="11" spans="1:19" ht="29.25" customHeight="1">
      <c r="A11" s="482">
        <v>4</v>
      </c>
      <c r="B11" s="3792"/>
      <c r="C11" s="3795"/>
      <c r="D11" s="3697"/>
      <c r="E11" s="484" t="s">
        <v>611</v>
      </c>
      <c r="F11" s="602">
        <f>'R.GUI MAIL'!H10</f>
        <v>0</v>
      </c>
      <c r="G11" s="488" t="s">
        <v>606</v>
      </c>
      <c r="H11" s="489">
        <f>'R.GUI MAIL'!K10</f>
        <v>0</v>
      </c>
      <c r="I11" s="482" t="s">
        <v>607</v>
      </c>
      <c r="J11" s="602">
        <f>'R.GUI MAIL'!N10</f>
        <v>0</v>
      </c>
      <c r="K11" s="488" t="s">
        <v>606</v>
      </c>
      <c r="L11" s="489">
        <f>'R.GUI MAIL'!Q10</f>
        <v>0</v>
      </c>
      <c r="M11" s="482" t="s">
        <v>607</v>
      </c>
      <c r="N11" s="602">
        <f>'R.GUI MAIL'!T10</f>
        <v>0</v>
      </c>
      <c r="O11" s="488" t="s">
        <v>606</v>
      </c>
      <c r="P11" s="489">
        <f>'R.GUI MAIL'!W10</f>
        <v>0</v>
      </c>
      <c r="Q11" s="482" t="s">
        <v>607</v>
      </c>
      <c r="R11" s="3667"/>
      <c r="S11" s="3667"/>
    </row>
    <row r="12" spans="1:19" ht="29.25" customHeight="1">
      <c r="A12" s="482">
        <v>5</v>
      </c>
      <c r="B12" s="3790" t="s">
        <v>724</v>
      </c>
      <c r="C12" s="3793">
        <f>R.HN!B7</f>
        <v>4</v>
      </c>
      <c r="D12" s="3697" t="s">
        <v>429</v>
      </c>
      <c r="E12" s="484" t="s">
        <v>722</v>
      </c>
      <c r="F12" s="601">
        <f>'R.GUI MAIL'!H11</f>
        <v>0</v>
      </c>
      <c r="G12" s="488" t="s">
        <v>606</v>
      </c>
      <c r="H12" s="489">
        <f>'R.GUI MAIL'!K11</f>
        <v>0</v>
      </c>
      <c r="I12" s="482"/>
      <c r="J12" s="601">
        <f>'R.GUI MAIL'!N11</f>
        <v>0</v>
      </c>
      <c r="K12" s="488" t="s">
        <v>606</v>
      </c>
      <c r="L12" s="489">
        <f>'R.GUI MAIL'!Q11</f>
        <v>0</v>
      </c>
      <c r="M12" s="482" t="s">
        <v>607</v>
      </c>
      <c r="N12" s="601">
        <f>'R.GUI MAIL'!T11</f>
        <v>0</v>
      </c>
      <c r="O12" s="488" t="s">
        <v>606</v>
      </c>
      <c r="P12" s="489">
        <f>'R.GUI MAIL'!W11</f>
        <v>0</v>
      </c>
      <c r="Q12" s="482" t="s">
        <v>607</v>
      </c>
      <c r="R12" s="3667" t="s">
        <v>608</v>
      </c>
      <c r="S12" s="3667"/>
    </row>
    <row r="13" spans="1:19" ht="29.25" customHeight="1">
      <c r="A13" s="482">
        <v>6</v>
      </c>
      <c r="B13" s="3791"/>
      <c r="C13" s="3794"/>
      <c r="D13" s="3697"/>
      <c r="E13" s="484" t="s">
        <v>723</v>
      </c>
      <c r="F13" s="601">
        <f>'R.GUI MAIL'!H12</f>
        <v>0</v>
      </c>
      <c r="G13" s="488" t="s">
        <v>606</v>
      </c>
      <c r="H13" s="489">
        <f>'R.GUI MAIL'!K12</f>
        <v>0</v>
      </c>
      <c r="I13" s="482"/>
      <c r="J13" s="601">
        <f>'R.GUI MAIL'!N12</f>
        <v>0</v>
      </c>
      <c r="K13" s="488" t="s">
        <v>606</v>
      </c>
      <c r="L13" s="489">
        <f>'R.GUI MAIL'!Q12</f>
        <v>0</v>
      </c>
      <c r="M13" s="482" t="s">
        <v>607</v>
      </c>
      <c r="N13" s="601">
        <f>'R.GUI MAIL'!T12</f>
        <v>0</v>
      </c>
      <c r="O13" s="488" t="s">
        <v>606</v>
      </c>
      <c r="P13" s="489">
        <f>'R.GUI MAIL'!W12</f>
        <v>0</v>
      </c>
      <c r="Q13" s="482" t="s">
        <v>607</v>
      </c>
      <c r="R13" s="3667" t="s">
        <v>610</v>
      </c>
      <c r="S13" s="3667"/>
    </row>
    <row r="14" spans="1:19" ht="29.25" customHeight="1">
      <c r="A14" s="482">
        <v>7</v>
      </c>
      <c r="B14" s="3792"/>
      <c r="C14" s="3795"/>
      <c r="D14" s="3697"/>
      <c r="E14" s="484" t="s">
        <v>611</v>
      </c>
      <c r="F14" s="602">
        <f>'R.GUI MAIL'!H13</f>
        <v>0</v>
      </c>
      <c r="G14" s="488" t="s">
        <v>8</v>
      </c>
      <c r="H14" s="489">
        <f>'R.GUI MAIL'!K13</f>
        <v>0</v>
      </c>
      <c r="I14" s="482"/>
      <c r="J14" s="602">
        <f>'R.GUI MAIL'!N13</f>
        <v>0</v>
      </c>
      <c r="K14" s="488" t="s">
        <v>606</v>
      </c>
      <c r="L14" s="489">
        <f>'R.GUI MAIL'!Q13</f>
        <v>0</v>
      </c>
      <c r="M14" s="482" t="s">
        <v>607</v>
      </c>
      <c r="N14" s="602">
        <f>'R.GUI MAIL'!T13</f>
        <v>0</v>
      </c>
      <c r="O14" s="488" t="s">
        <v>606</v>
      </c>
      <c r="P14" s="489">
        <f>'R.GUI MAIL'!W13</f>
        <v>0</v>
      </c>
      <c r="Q14" s="482" t="s">
        <v>607</v>
      </c>
      <c r="R14" s="3667"/>
      <c r="S14" s="3667"/>
    </row>
    <row r="15" spans="1:19" s="502" customFormat="1" ht="29.25" customHeight="1">
      <c r="A15" s="482">
        <v>8</v>
      </c>
      <c r="B15" s="3790" t="s">
        <v>661</v>
      </c>
      <c r="C15" s="3793"/>
      <c r="D15" s="531" t="s">
        <v>429</v>
      </c>
      <c r="E15" s="486" t="s">
        <v>439</v>
      </c>
      <c r="F15" s="601">
        <f>'R.GUI MAIL'!H14</f>
        <v>0</v>
      </c>
      <c r="G15" s="488" t="s">
        <v>614</v>
      </c>
      <c r="H15" s="500">
        <f>'R.GUI MAIL'!K14</f>
        <v>0</v>
      </c>
      <c r="I15" s="501" t="s">
        <v>615</v>
      </c>
      <c r="J15" s="601">
        <f>'R.GUI MAIL'!N14</f>
        <v>0</v>
      </c>
      <c r="K15" s="488" t="s">
        <v>614</v>
      </c>
      <c r="L15" s="500">
        <f>'R.GUI MAIL'!Q14</f>
        <v>0</v>
      </c>
      <c r="M15" s="501" t="s">
        <v>615</v>
      </c>
      <c r="N15" s="601">
        <f>'R.GUI MAIL'!T14</f>
        <v>0</v>
      </c>
      <c r="O15" s="488" t="s">
        <v>614</v>
      </c>
      <c r="P15" s="500">
        <f>'R.GUI MAIL'!W14</f>
        <v>0</v>
      </c>
      <c r="Q15" s="501" t="s">
        <v>615</v>
      </c>
      <c r="R15" s="3667"/>
      <c r="S15" s="3667"/>
    </row>
    <row r="16" spans="1:19" s="502" customFormat="1" ht="29.25" customHeight="1">
      <c r="A16" s="482">
        <v>9</v>
      </c>
      <c r="B16" s="3792"/>
      <c r="C16" s="3795"/>
      <c r="D16" s="542" t="s">
        <v>683</v>
      </c>
      <c r="E16" s="484" t="s">
        <v>617</v>
      </c>
      <c r="F16" s="601">
        <f>'R.GUI MAIL'!H15</f>
        <v>0</v>
      </c>
      <c r="G16" s="488" t="s">
        <v>614</v>
      </c>
      <c r="H16" s="489"/>
      <c r="I16" s="501"/>
      <c r="J16" s="601">
        <f>'R.GUI MAIL'!N15</f>
        <v>0</v>
      </c>
      <c r="K16" s="488" t="s">
        <v>614</v>
      </c>
      <c r="L16" s="489"/>
      <c r="M16" s="501"/>
      <c r="N16" s="601">
        <f>'R.GUI MAIL'!T15</f>
        <v>0</v>
      </c>
      <c r="O16" s="488" t="s">
        <v>614</v>
      </c>
      <c r="P16" s="489"/>
      <c r="Q16" s="501"/>
      <c r="R16" s="3667"/>
      <c r="S16" s="3667"/>
    </row>
    <row r="17" spans="1:19" s="502" customFormat="1" ht="25.5" customHeight="1">
      <c r="A17" s="3658" t="s">
        <v>618</v>
      </c>
      <c r="B17" s="3658"/>
      <c r="C17" s="3658"/>
      <c r="D17" s="3658"/>
      <c r="E17" s="3658"/>
      <c r="F17" s="3658"/>
      <c r="G17" s="3658"/>
      <c r="H17" s="3658"/>
      <c r="I17" s="3658"/>
      <c r="J17" s="3658"/>
      <c r="K17" s="3658"/>
      <c r="L17" s="3658"/>
      <c r="M17" s="3658"/>
      <c r="N17" s="3658"/>
      <c r="O17" s="3658"/>
      <c r="P17" s="3658"/>
      <c r="Q17" s="3658"/>
      <c r="R17" s="3658"/>
      <c r="S17" s="3658"/>
    </row>
    <row r="18" spans="1:19" s="502" customFormat="1" ht="40.5" customHeight="1">
      <c r="A18" s="482" t="s">
        <v>619</v>
      </c>
      <c r="B18" s="3627" t="s">
        <v>620</v>
      </c>
      <c r="C18" s="3629"/>
      <c r="D18" s="480" t="s">
        <v>621</v>
      </c>
      <c r="E18" s="480" t="s">
        <v>622</v>
      </c>
      <c r="F18" s="3658" t="s">
        <v>45</v>
      </c>
      <c r="G18" s="3658"/>
      <c r="H18" s="3658" t="s">
        <v>61</v>
      </c>
      <c r="I18" s="3658"/>
      <c r="J18" s="3658" t="s">
        <v>45</v>
      </c>
      <c r="K18" s="3658"/>
      <c r="L18" s="3658" t="s">
        <v>61</v>
      </c>
      <c r="M18" s="3658"/>
      <c r="N18" s="3658" t="s">
        <v>45</v>
      </c>
      <c r="O18" s="3658"/>
      <c r="P18" s="3658" t="s">
        <v>61</v>
      </c>
      <c r="Q18" s="3658"/>
      <c r="R18" s="3672" t="s">
        <v>594</v>
      </c>
      <c r="S18" s="3673"/>
    </row>
    <row r="19" spans="1:19" s="502" customFormat="1" ht="27" customHeight="1">
      <c r="A19" s="482">
        <v>1</v>
      </c>
      <c r="B19" s="3627" t="s">
        <v>443</v>
      </c>
      <c r="C19" s="3629"/>
      <c r="D19" s="506" t="s">
        <v>624</v>
      </c>
      <c r="E19" s="507" t="s">
        <v>625</v>
      </c>
      <c r="F19" s="3098">
        <f>'R.FILE GOC'!H18</f>
        <v>0</v>
      </c>
      <c r="G19" s="3099"/>
      <c r="H19" s="3098">
        <f>'R.FILE GOC'!K18</f>
        <v>0</v>
      </c>
      <c r="I19" s="3099"/>
      <c r="J19" s="3098">
        <f>'R.FILE GOC'!N18</f>
        <v>0</v>
      </c>
      <c r="K19" s="3099"/>
      <c r="L19" s="3098">
        <f>'R.FILE GOC'!Q18</f>
        <v>0</v>
      </c>
      <c r="M19" s="3099"/>
      <c r="N19" s="3098">
        <f>'R.GUI MAIL'!T18</f>
        <v>0</v>
      </c>
      <c r="O19" s="3099"/>
      <c r="P19" s="3098">
        <f>'R.FILE GOC'!W18</f>
        <v>0</v>
      </c>
      <c r="Q19" s="3099"/>
      <c r="R19" s="508"/>
      <c r="S19" s="508"/>
    </row>
    <row r="20" spans="1:19" s="502" customFormat="1" ht="27" customHeight="1">
      <c r="A20" s="482">
        <v>2</v>
      </c>
      <c r="B20" s="3627" t="s">
        <v>445</v>
      </c>
      <c r="C20" s="3629"/>
      <c r="D20" s="506" t="s">
        <v>624</v>
      </c>
      <c r="E20" s="507" t="s">
        <v>625</v>
      </c>
      <c r="F20" s="3098">
        <f>'R.FILE GOC'!H19</f>
        <v>0</v>
      </c>
      <c r="G20" s="3099"/>
      <c r="H20" s="3098">
        <f>'R.FILE GOC'!K19</f>
        <v>0</v>
      </c>
      <c r="I20" s="3099"/>
      <c r="J20" s="3098">
        <f>'R.FILE GOC'!N19</f>
        <v>0</v>
      </c>
      <c r="K20" s="3099"/>
      <c r="L20" s="3098">
        <f>'R.FILE GOC'!Q19</f>
        <v>0</v>
      </c>
      <c r="M20" s="3099"/>
      <c r="N20" s="3098">
        <f>'R.GUI MAIL'!T19</f>
        <v>0</v>
      </c>
      <c r="O20" s="3099"/>
      <c r="P20" s="3098">
        <f>'R.FILE GOC'!W19</f>
        <v>0</v>
      </c>
      <c r="Q20" s="3099"/>
      <c r="R20" s="509"/>
      <c r="S20" s="509"/>
    </row>
    <row r="21" spans="1:19" s="502" customFormat="1" ht="27" customHeight="1">
      <c r="A21" s="482">
        <v>3</v>
      </c>
      <c r="B21" s="3627" t="s">
        <v>438</v>
      </c>
      <c r="C21" s="3629"/>
      <c r="D21" s="506" t="s">
        <v>624</v>
      </c>
      <c r="E21" s="507" t="s">
        <v>626</v>
      </c>
      <c r="F21" s="3098">
        <f>'R.FILE GOC'!H20</f>
        <v>0</v>
      </c>
      <c r="G21" s="3099"/>
      <c r="H21" s="3098">
        <f>'R.FILE GOC'!K20</f>
        <v>0</v>
      </c>
      <c r="I21" s="3099"/>
      <c r="J21" s="3098">
        <f>'R.FILE GOC'!N20</f>
        <v>0</v>
      </c>
      <c r="K21" s="3099"/>
      <c r="L21" s="3098">
        <f>'R.FILE GOC'!Q20</f>
        <v>0</v>
      </c>
      <c r="M21" s="3099"/>
      <c r="N21" s="3098">
        <f>'R.GUI MAIL'!T20</f>
        <v>0</v>
      </c>
      <c r="O21" s="3099"/>
      <c r="P21" s="3098">
        <f>'R.FILE GOC'!W20</f>
        <v>0</v>
      </c>
      <c r="Q21" s="3099"/>
      <c r="R21" s="509"/>
      <c r="S21" s="509"/>
    </row>
    <row r="22" spans="1:19" s="502" customFormat="1" ht="27" customHeight="1">
      <c r="A22" s="510"/>
      <c r="B22" s="511"/>
      <c r="C22" s="511"/>
      <c r="D22" s="512"/>
      <c r="E22" s="513"/>
      <c r="F22" s="3679"/>
      <c r="G22" s="3679"/>
      <c r="H22" s="3679"/>
      <c r="I22" s="3679"/>
      <c r="J22" s="3679"/>
      <c r="K22" s="3679"/>
      <c r="L22" s="3679"/>
      <c r="M22" s="3679"/>
      <c r="N22" s="3679"/>
      <c r="O22" s="3679"/>
      <c r="P22" s="3679"/>
      <c r="Q22" s="3679"/>
      <c r="R22" s="514"/>
      <c r="S22" s="514"/>
    </row>
    <row r="23" spans="1:19" s="502" customFormat="1" ht="27.75" customHeight="1">
      <c r="A23" s="516"/>
      <c r="B23" s="517"/>
      <c r="C23" s="517"/>
      <c r="D23" s="518"/>
      <c r="E23" s="517"/>
      <c r="F23" s="517"/>
      <c r="G23" s="517"/>
      <c r="H23" s="517"/>
      <c r="I23" s="517"/>
      <c r="J23" s="517"/>
      <c r="K23" s="517"/>
      <c r="L23" s="517"/>
      <c r="M23" s="517"/>
      <c r="N23" s="517"/>
      <c r="O23" s="517"/>
      <c r="P23" s="517"/>
      <c r="Q23" s="517"/>
      <c r="R23" s="472"/>
      <c r="S23" s="472"/>
    </row>
    <row r="24" spans="1:19" ht="39" customHeight="1">
      <c r="A24" s="3636" t="s">
        <v>908</v>
      </c>
      <c r="B24" s="3636"/>
      <c r="C24" s="3636"/>
      <c r="D24" s="3636"/>
      <c r="E24" s="3636"/>
      <c r="F24" s="3636"/>
      <c r="G24" s="3636"/>
      <c r="H24" s="3636"/>
      <c r="I24" s="3636"/>
      <c r="J24" s="3636"/>
      <c r="K24" s="3636"/>
      <c r="L24" s="3636"/>
      <c r="M24" s="3636"/>
      <c r="N24" s="3636"/>
      <c r="O24" s="3636"/>
      <c r="P24" s="3636"/>
      <c r="Q24" s="3636"/>
      <c r="R24" s="3680"/>
      <c r="S24" s="3680"/>
    </row>
    <row r="25" spans="1:19" ht="23.25" customHeight="1">
      <c r="A25" s="476"/>
      <c r="B25" s="476" t="s">
        <v>627</v>
      </c>
      <c r="C25" s="476"/>
      <c r="D25" s="477"/>
      <c r="E25" s="478"/>
      <c r="F25" s="475"/>
      <c r="G25" s="475"/>
      <c r="H25" s="475"/>
      <c r="I25" s="475"/>
      <c r="J25" s="475"/>
      <c r="K25" s="475"/>
      <c r="L25" s="475"/>
      <c r="M25" s="475"/>
      <c r="N25" s="475"/>
      <c r="O25" s="475"/>
      <c r="P25" s="475"/>
      <c r="Q25" s="475"/>
      <c r="R25" s="3678"/>
      <c r="S25" s="3678"/>
    </row>
    <row r="26" spans="1:19" s="481" customFormat="1" ht="32.25" customHeight="1">
      <c r="A26" s="3656" t="s">
        <v>628</v>
      </c>
      <c r="B26" s="3450" t="s">
        <v>641</v>
      </c>
      <c r="C26" s="3786"/>
      <c r="D26" s="3687" t="s">
        <v>642</v>
      </c>
      <c r="E26" s="3683" t="s">
        <v>592</v>
      </c>
      <c r="F26" s="3661" t="s">
        <v>593</v>
      </c>
      <c r="G26" s="3662"/>
      <c r="H26" s="3662"/>
      <c r="I26" s="3662"/>
      <c r="J26" s="3662"/>
      <c r="K26" s="3662"/>
      <c r="L26" s="3662"/>
      <c r="M26" s="3662"/>
      <c r="N26" s="3662"/>
      <c r="O26" s="3662"/>
      <c r="P26" s="3662"/>
      <c r="Q26" s="3663"/>
      <c r="R26" s="3681" t="s">
        <v>594</v>
      </c>
      <c r="S26" s="3681"/>
    </row>
    <row r="27" spans="1:19" s="481" customFormat="1" ht="16.5" customHeight="1">
      <c r="A27" s="3656"/>
      <c r="B27" s="3506"/>
      <c r="C27" s="3787"/>
      <c r="D27" s="3687"/>
      <c r="E27" s="3659"/>
      <c r="F27" s="3646">
        <v>0.875</v>
      </c>
      <c r="G27" s="3647"/>
      <c r="H27" s="3647"/>
      <c r="I27" s="3647"/>
      <c r="J27" s="3648">
        <v>8.3333333333333329E-2</v>
      </c>
      <c r="K27" s="3649"/>
      <c r="L27" s="3649"/>
      <c r="M27" s="3650"/>
      <c r="N27" s="3648">
        <v>0.22916666666666666</v>
      </c>
      <c r="O27" s="3649"/>
      <c r="P27" s="3649"/>
      <c r="Q27" s="3650"/>
      <c r="R27" s="3645"/>
      <c r="S27" s="3645"/>
    </row>
    <row r="28" spans="1:19" s="481" customFormat="1" ht="38.25" customHeight="1">
      <c r="A28" s="3657"/>
      <c r="B28" s="3788"/>
      <c r="C28" s="3789"/>
      <c r="D28" s="3688"/>
      <c r="E28" s="3660"/>
      <c r="F28" s="483" t="s">
        <v>595</v>
      </c>
      <c r="G28" s="3651" t="s">
        <v>596</v>
      </c>
      <c r="H28" s="3652"/>
      <c r="I28" s="3653"/>
      <c r="J28" s="483" t="s">
        <v>595</v>
      </c>
      <c r="K28" s="3664" t="s">
        <v>596</v>
      </c>
      <c r="L28" s="3665"/>
      <c r="M28" s="3666"/>
      <c r="N28" s="483" t="s">
        <v>595</v>
      </c>
      <c r="O28" s="3664" t="s">
        <v>596</v>
      </c>
      <c r="P28" s="3665"/>
      <c r="Q28" s="3666"/>
      <c r="R28" s="3654" t="s">
        <v>629</v>
      </c>
      <c r="S28" s="3654"/>
    </row>
    <row r="29" spans="1:19" ht="28.5" customHeight="1">
      <c r="A29" s="482">
        <v>1</v>
      </c>
      <c r="B29" s="3627" t="s">
        <v>398</v>
      </c>
      <c r="C29" s="3629"/>
      <c r="D29" s="534" t="s">
        <v>654</v>
      </c>
      <c r="E29" s="484" t="s">
        <v>600</v>
      </c>
      <c r="F29" s="601">
        <f>'R.GUI MAIL'!Z6</f>
        <v>0</v>
      </c>
      <c r="G29" s="488" t="s">
        <v>614</v>
      </c>
      <c r="H29" s="489">
        <f>'R.GUI MAIL'!AC6</f>
        <v>0</v>
      </c>
      <c r="I29" s="482" t="s">
        <v>10</v>
      </c>
      <c r="J29" s="601">
        <f>'R.GUI MAIL'!AF6</f>
        <v>0</v>
      </c>
      <c r="K29" s="488" t="s">
        <v>614</v>
      </c>
      <c r="L29" s="489">
        <f>'R.GUI MAIL'!AI6</f>
        <v>0</v>
      </c>
      <c r="M29" s="482" t="s">
        <v>10</v>
      </c>
      <c r="N29" s="601">
        <f>'R.GUI MAIL'!AL6</f>
        <v>0</v>
      </c>
      <c r="O29" s="488" t="s">
        <v>614</v>
      </c>
      <c r="P29" s="489">
        <f>'R.GUI MAIL'!AO6</f>
        <v>0</v>
      </c>
      <c r="Q29" s="482" t="s">
        <v>10</v>
      </c>
      <c r="R29" s="3667" t="s">
        <v>630</v>
      </c>
      <c r="S29" s="3667"/>
    </row>
    <row r="30" spans="1:19" ht="28.5" hidden="1" customHeight="1">
      <c r="A30" s="482"/>
      <c r="B30" s="3627" t="s">
        <v>399</v>
      </c>
      <c r="C30" s="3629"/>
      <c r="D30" s="534" t="s">
        <v>654</v>
      </c>
      <c r="E30" s="484" t="s">
        <v>600</v>
      </c>
      <c r="F30" s="491">
        <f>'R.GUI MAIL'!Z7</f>
        <v>0</v>
      </c>
      <c r="G30" s="492" t="s">
        <v>614</v>
      </c>
      <c r="H30" s="493">
        <f>'R.GUI MAIL'!AC7</f>
        <v>292.1875</v>
      </c>
      <c r="I30" s="209" t="s">
        <v>10</v>
      </c>
      <c r="J30" s="491">
        <f>'R.GUI MAIL'!AF7</f>
        <v>0</v>
      </c>
      <c r="K30" s="492" t="s">
        <v>614</v>
      </c>
      <c r="L30" s="493">
        <f>'R.GUI MAIL'!AI7</f>
        <v>292.1875</v>
      </c>
      <c r="M30" s="209" t="s">
        <v>10</v>
      </c>
      <c r="N30" s="491">
        <f>'R.GUI MAIL'!AL7</f>
        <v>0</v>
      </c>
      <c r="O30" s="492" t="s">
        <v>614</v>
      </c>
      <c r="P30" s="493">
        <f>'R.GUI MAIL'!AO7</f>
        <v>292.1875</v>
      </c>
      <c r="Q30" s="209" t="s">
        <v>10</v>
      </c>
      <c r="R30" s="3667" t="s">
        <v>630</v>
      </c>
      <c r="S30" s="3667"/>
    </row>
    <row r="31" spans="1:19" ht="28.5" customHeight="1">
      <c r="A31" s="482">
        <v>2</v>
      </c>
      <c r="B31" s="3790" t="s">
        <v>685</v>
      </c>
      <c r="C31" s="3793">
        <f>R.HN!B4</f>
        <v>3</v>
      </c>
      <c r="D31" s="3697" t="s">
        <v>429</v>
      </c>
      <c r="E31" s="484" t="s">
        <v>722</v>
      </c>
      <c r="F31" s="601">
        <f>'R.GUI MAIL'!Z8</f>
        <v>0</v>
      </c>
      <c r="G31" s="488" t="s">
        <v>614</v>
      </c>
      <c r="H31" s="489">
        <f>'R.GUI MAIL'!AC8</f>
        <v>0</v>
      </c>
      <c r="I31" s="482" t="s">
        <v>615</v>
      </c>
      <c r="J31" s="601">
        <f>'R.GUI MAIL'!AF8</f>
        <v>0</v>
      </c>
      <c r="K31" s="488" t="s">
        <v>614</v>
      </c>
      <c r="L31" s="489">
        <f>'R.GUI MAIL'!AI8</f>
        <v>0</v>
      </c>
      <c r="M31" s="482" t="s">
        <v>615</v>
      </c>
      <c r="N31" s="601">
        <f>'R.GUI MAIL'!AL8</f>
        <v>0</v>
      </c>
      <c r="O31" s="488" t="s">
        <v>614</v>
      </c>
      <c r="P31" s="489">
        <f>'R.GUI MAIL'!AO8</f>
        <v>0</v>
      </c>
      <c r="Q31" s="482" t="s">
        <v>615</v>
      </c>
      <c r="R31" s="3667" t="s">
        <v>633</v>
      </c>
      <c r="S31" s="3667"/>
    </row>
    <row r="32" spans="1:19" ht="28.5" customHeight="1">
      <c r="A32" s="482">
        <v>3</v>
      </c>
      <c r="B32" s="3791"/>
      <c r="C32" s="3794"/>
      <c r="D32" s="3697"/>
      <c r="E32" s="484" t="s">
        <v>723</v>
      </c>
      <c r="F32" s="601">
        <f>'R.GUI MAIL'!Z9</f>
        <v>0</v>
      </c>
      <c r="G32" s="488" t="s">
        <v>614</v>
      </c>
      <c r="H32" s="489">
        <f>'R.GUI MAIL'!AC9</f>
        <v>0</v>
      </c>
      <c r="I32" s="482" t="s">
        <v>615</v>
      </c>
      <c r="J32" s="601">
        <f>'R.GUI MAIL'!AF9</f>
        <v>0</v>
      </c>
      <c r="K32" s="488" t="s">
        <v>614</v>
      </c>
      <c r="L32" s="489">
        <f>'R.GUI MAIL'!AI9</f>
        <v>0</v>
      </c>
      <c r="M32" s="482" t="s">
        <v>615</v>
      </c>
      <c r="N32" s="601">
        <f>'R.GUI MAIL'!AL9</f>
        <v>0</v>
      </c>
      <c r="O32" s="488" t="s">
        <v>614</v>
      </c>
      <c r="P32" s="489">
        <f>'R.GUI MAIL'!AO9</f>
        <v>0</v>
      </c>
      <c r="Q32" s="482" t="s">
        <v>615</v>
      </c>
      <c r="R32" s="3667" t="s">
        <v>634</v>
      </c>
      <c r="S32" s="3667"/>
    </row>
    <row r="33" spans="1:19" ht="28.5" customHeight="1">
      <c r="A33" s="482">
        <v>4</v>
      </c>
      <c r="B33" s="3792"/>
      <c r="C33" s="3795"/>
      <c r="D33" s="3697"/>
      <c r="E33" s="484" t="s">
        <v>611</v>
      </c>
      <c r="F33" s="602">
        <f>'R.GUI MAIL'!Z10</f>
        <v>0</v>
      </c>
      <c r="G33" s="488" t="s">
        <v>635</v>
      </c>
      <c r="H33" s="489">
        <f>'R.GUI MAIL'!AC10</f>
        <v>0</v>
      </c>
      <c r="I33" s="498" t="s">
        <v>636</v>
      </c>
      <c r="J33" s="602">
        <f>'R.GUI MAIL'!AF10</f>
        <v>0</v>
      </c>
      <c r="K33" s="488" t="s">
        <v>635</v>
      </c>
      <c r="L33" s="489">
        <f>'R.GUI MAIL'!AI10</f>
        <v>0</v>
      </c>
      <c r="M33" s="498" t="s">
        <v>636</v>
      </c>
      <c r="N33" s="602">
        <f>'R.GUI MAIL'!AL10</f>
        <v>0</v>
      </c>
      <c r="O33" s="488" t="s">
        <v>635</v>
      </c>
      <c r="P33" s="489">
        <f>'R.GUI MAIL'!AO10</f>
        <v>0</v>
      </c>
      <c r="Q33" s="498" t="s">
        <v>636</v>
      </c>
      <c r="R33" s="3667"/>
      <c r="S33" s="3667"/>
    </row>
    <row r="34" spans="1:19" ht="28.5" customHeight="1">
      <c r="A34" s="482">
        <v>5</v>
      </c>
      <c r="B34" s="3790" t="s">
        <v>724</v>
      </c>
      <c r="C34" s="3793">
        <f>R.HN!B7</f>
        <v>4</v>
      </c>
      <c r="D34" s="3697" t="s">
        <v>429</v>
      </c>
      <c r="E34" s="484" t="s">
        <v>722</v>
      </c>
      <c r="F34" s="601">
        <f>'R.GUI MAIL'!Z11</f>
        <v>0</v>
      </c>
      <c r="G34" s="488" t="s">
        <v>635</v>
      </c>
      <c r="H34" s="489">
        <f>'R.GUI MAIL'!AC11</f>
        <v>0</v>
      </c>
      <c r="I34" s="498" t="s">
        <v>636</v>
      </c>
      <c r="J34" s="601">
        <f>'R.GUI MAIL'!AF11</f>
        <v>0</v>
      </c>
      <c r="K34" s="488" t="s">
        <v>635</v>
      </c>
      <c r="L34" s="489">
        <f>'R.GUI MAIL'!AI11</f>
        <v>0</v>
      </c>
      <c r="M34" s="498" t="s">
        <v>636</v>
      </c>
      <c r="N34" s="601">
        <f>'R.GUI MAIL'!AL11</f>
        <v>0</v>
      </c>
      <c r="O34" s="488" t="s">
        <v>635</v>
      </c>
      <c r="P34" s="489">
        <f>'R.GUI MAIL'!AO11</f>
        <v>0</v>
      </c>
      <c r="Q34" s="498" t="s">
        <v>636</v>
      </c>
      <c r="R34" s="3667" t="s">
        <v>633</v>
      </c>
      <c r="S34" s="3667"/>
    </row>
    <row r="35" spans="1:19" ht="28.5" customHeight="1">
      <c r="A35" s="482">
        <v>6</v>
      </c>
      <c r="B35" s="3791"/>
      <c r="C35" s="3794"/>
      <c r="D35" s="3697"/>
      <c r="E35" s="484" t="s">
        <v>723</v>
      </c>
      <c r="F35" s="601">
        <f>'R.GUI MAIL'!Z12</f>
        <v>0</v>
      </c>
      <c r="G35" s="488" t="s">
        <v>635</v>
      </c>
      <c r="H35" s="489">
        <f>'R.GUI MAIL'!AC12</f>
        <v>0</v>
      </c>
      <c r="I35" s="498" t="s">
        <v>636</v>
      </c>
      <c r="J35" s="601">
        <f>'R.GUI MAIL'!AF12</f>
        <v>0</v>
      </c>
      <c r="K35" s="488" t="s">
        <v>635</v>
      </c>
      <c r="L35" s="489">
        <f>'R.GUI MAIL'!AI12</f>
        <v>0</v>
      </c>
      <c r="M35" s="498" t="s">
        <v>636</v>
      </c>
      <c r="N35" s="601">
        <f>'R.GUI MAIL'!AL12</f>
        <v>0</v>
      </c>
      <c r="O35" s="488" t="s">
        <v>635</v>
      </c>
      <c r="P35" s="489">
        <f>'R.GUI MAIL'!AO12</f>
        <v>0</v>
      </c>
      <c r="Q35" s="498" t="s">
        <v>636</v>
      </c>
      <c r="R35" s="3667" t="s">
        <v>634</v>
      </c>
      <c r="S35" s="3667"/>
    </row>
    <row r="36" spans="1:19" ht="28.5" customHeight="1">
      <c r="A36" s="482">
        <v>7</v>
      </c>
      <c r="B36" s="3792"/>
      <c r="C36" s="3795"/>
      <c r="D36" s="3697"/>
      <c r="E36" s="484" t="s">
        <v>611</v>
      </c>
      <c r="F36" s="602">
        <f>'R.GUI MAIL'!Z13</f>
        <v>0</v>
      </c>
      <c r="G36" s="488" t="s">
        <v>635</v>
      </c>
      <c r="H36" s="489">
        <f>'R.GUI MAIL'!AC13</f>
        <v>0</v>
      </c>
      <c r="I36" s="498" t="s">
        <v>636</v>
      </c>
      <c r="J36" s="602">
        <f>'R.GUI MAIL'!AF13</f>
        <v>0</v>
      </c>
      <c r="K36" s="488" t="s">
        <v>635</v>
      </c>
      <c r="L36" s="489">
        <f>'R.GUI MAIL'!AI13</f>
        <v>0</v>
      </c>
      <c r="M36" s="498" t="s">
        <v>636</v>
      </c>
      <c r="N36" s="602">
        <f>'R.GUI MAIL'!AL13</f>
        <v>0</v>
      </c>
      <c r="O36" s="488" t="s">
        <v>635</v>
      </c>
      <c r="P36" s="489">
        <f>'R.GUI MAIL'!AO13</f>
        <v>0</v>
      </c>
      <c r="Q36" s="498" t="s">
        <v>636</v>
      </c>
      <c r="R36" s="3667"/>
      <c r="S36" s="3667"/>
    </row>
    <row r="37" spans="1:19" s="502" customFormat="1" ht="28.5" customHeight="1">
      <c r="A37" s="482">
        <v>8</v>
      </c>
      <c r="B37" s="3790" t="s">
        <v>661</v>
      </c>
      <c r="C37" s="3793"/>
      <c r="D37" s="531" t="s">
        <v>429</v>
      </c>
      <c r="E37" s="486" t="s">
        <v>439</v>
      </c>
      <c r="F37" s="601">
        <f>'R.GUI MAIL'!Z14</f>
        <v>0</v>
      </c>
      <c r="G37" s="488" t="s">
        <v>614</v>
      </c>
      <c r="H37" s="500">
        <f>'R.GUI MAIL'!AC14</f>
        <v>0</v>
      </c>
      <c r="I37" s="501" t="s">
        <v>615</v>
      </c>
      <c r="J37" s="601">
        <f>'R.GUI MAIL'!AF14</f>
        <v>0</v>
      </c>
      <c r="K37" s="488" t="s">
        <v>614</v>
      </c>
      <c r="L37" s="500">
        <f>'R.GUI MAIL'!AI14</f>
        <v>0</v>
      </c>
      <c r="M37" s="501" t="s">
        <v>615</v>
      </c>
      <c r="N37" s="601">
        <f>'R.GUI MAIL'!AL14</f>
        <v>0</v>
      </c>
      <c r="O37" s="488" t="s">
        <v>614</v>
      </c>
      <c r="P37" s="500">
        <f>'R.GUI MAIL'!AO14</f>
        <v>0</v>
      </c>
      <c r="Q37" s="501" t="s">
        <v>615</v>
      </c>
      <c r="R37" s="3667"/>
      <c r="S37" s="3667"/>
    </row>
    <row r="38" spans="1:19" s="502" customFormat="1" ht="28.5" customHeight="1">
      <c r="A38" s="482">
        <v>9</v>
      </c>
      <c r="B38" s="3792"/>
      <c r="C38" s="3795"/>
      <c r="D38" s="542" t="s">
        <v>683</v>
      </c>
      <c r="E38" s="484" t="s">
        <v>617</v>
      </c>
      <c r="F38" s="601">
        <f>'R.GUI MAIL'!Z15</f>
        <v>0</v>
      </c>
      <c r="G38" s="488"/>
      <c r="H38" s="489"/>
      <c r="I38" s="501"/>
      <c r="J38" s="601">
        <f>'R.GUI MAIL'!AF15</f>
        <v>0</v>
      </c>
      <c r="K38" s="488"/>
      <c r="L38" s="489"/>
      <c r="M38" s="501"/>
      <c r="N38" s="601">
        <f>'R.GUI MAIL'!AL15</f>
        <v>0</v>
      </c>
      <c r="O38" s="488"/>
      <c r="P38" s="489"/>
      <c r="Q38" s="501"/>
      <c r="R38" s="3667"/>
      <c r="S38" s="3667"/>
    </row>
    <row r="39" spans="1:19" s="502" customFormat="1" ht="27" customHeight="1">
      <c r="A39" s="3658" t="s">
        <v>618</v>
      </c>
      <c r="B39" s="3658"/>
      <c r="C39" s="3658"/>
      <c r="D39" s="3658"/>
      <c r="E39" s="3658"/>
      <c r="F39" s="3658"/>
      <c r="G39" s="3658"/>
      <c r="H39" s="3658"/>
      <c r="I39" s="3658"/>
      <c r="J39" s="3658"/>
      <c r="K39" s="3658"/>
      <c r="L39" s="3658"/>
      <c r="M39" s="3658"/>
      <c r="N39" s="3658"/>
      <c r="O39" s="3658"/>
      <c r="P39" s="3658"/>
      <c r="Q39" s="3658"/>
      <c r="R39" s="3658"/>
      <c r="S39" s="3658"/>
    </row>
    <row r="40" spans="1:19" s="502" customFormat="1" ht="34.5" customHeight="1">
      <c r="A40" s="482" t="s">
        <v>637</v>
      </c>
      <c r="B40" s="3627" t="s">
        <v>620</v>
      </c>
      <c r="C40" s="3629"/>
      <c r="D40" s="480" t="s">
        <v>621</v>
      </c>
      <c r="E40" s="480" t="s">
        <v>622</v>
      </c>
      <c r="F40" s="3658" t="s">
        <v>45</v>
      </c>
      <c r="G40" s="3658"/>
      <c r="H40" s="3658" t="s">
        <v>61</v>
      </c>
      <c r="I40" s="3658"/>
      <c r="J40" s="3658" t="s">
        <v>45</v>
      </c>
      <c r="K40" s="3658"/>
      <c r="L40" s="3658" t="s">
        <v>61</v>
      </c>
      <c r="M40" s="3658"/>
      <c r="N40" s="3658" t="s">
        <v>45</v>
      </c>
      <c r="O40" s="3658"/>
      <c r="P40" s="3658" t="s">
        <v>61</v>
      </c>
      <c r="Q40" s="3658"/>
      <c r="R40" s="3672" t="s">
        <v>594</v>
      </c>
      <c r="S40" s="3673"/>
    </row>
    <row r="41" spans="1:19" s="502" customFormat="1" ht="27.75" customHeight="1">
      <c r="A41" s="482">
        <v>1</v>
      </c>
      <c r="B41" s="3627" t="s">
        <v>443</v>
      </c>
      <c r="C41" s="3629"/>
      <c r="D41" s="506" t="s">
        <v>624</v>
      </c>
      <c r="E41" s="507" t="s">
        <v>625</v>
      </c>
      <c r="F41" s="3098">
        <f>'R.GUI MAIL'!Z18</f>
        <v>0</v>
      </c>
      <c r="G41" s="3099"/>
      <c r="H41" s="3098">
        <f>'R.FILE GOC'!AC18</f>
        <v>0</v>
      </c>
      <c r="I41" s="3099"/>
      <c r="J41" s="3098">
        <f>'R.GUI MAIL'!AF18</f>
        <v>0</v>
      </c>
      <c r="K41" s="3099"/>
      <c r="L41" s="3098">
        <f>'R.FILE GOC'!AI18</f>
        <v>0</v>
      </c>
      <c r="M41" s="3099"/>
      <c r="N41" s="3098">
        <f>'R.GUI MAIL'!AL18</f>
        <v>0</v>
      </c>
      <c r="O41" s="3099"/>
      <c r="P41" s="3098">
        <f>'R.FILE GOC'!AO18</f>
        <v>0</v>
      </c>
      <c r="Q41" s="3099"/>
      <c r="R41" s="508"/>
      <c r="S41" s="508"/>
    </row>
    <row r="42" spans="1:19" s="502" customFormat="1" ht="27.75" customHeight="1">
      <c r="A42" s="482">
        <v>2</v>
      </c>
      <c r="B42" s="3627" t="s">
        <v>445</v>
      </c>
      <c r="C42" s="3629"/>
      <c r="D42" s="506" t="s">
        <v>624</v>
      </c>
      <c r="E42" s="507" t="s">
        <v>625</v>
      </c>
      <c r="F42" s="3098">
        <f>'R.GUI MAIL'!Z19</f>
        <v>0</v>
      </c>
      <c r="G42" s="3099"/>
      <c r="H42" s="3098">
        <f>'R.FILE GOC'!AC19</f>
        <v>0</v>
      </c>
      <c r="I42" s="3099"/>
      <c r="J42" s="3098">
        <f>'R.GUI MAIL'!AF19</f>
        <v>0</v>
      </c>
      <c r="K42" s="3099"/>
      <c r="L42" s="3098">
        <f>'R.FILE GOC'!AI19</f>
        <v>0</v>
      </c>
      <c r="M42" s="3099"/>
      <c r="N42" s="3098">
        <f>'R.GUI MAIL'!AL19</f>
        <v>0</v>
      </c>
      <c r="O42" s="3099"/>
      <c r="P42" s="3098">
        <f>'R.FILE GOC'!AO19</f>
        <v>0</v>
      </c>
      <c r="Q42" s="3099"/>
      <c r="R42" s="508"/>
      <c r="S42" s="508"/>
    </row>
    <row r="43" spans="1:19" s="502" customFormat="1" ht="27.75" customHeight="1">
      <c r="A43" s="482">
        <v>3</v>
      </c>
      <c r="B43" s="3627" t="s">
        <v>438</v>
      </c>
      <c r="C43" s="3629"/>
      <c r="D43" s="506" t="s">
        <v>624</v>
      </c>
      <c r="E43" s="507" t="s">
        <v>626</v>
      </c>
      <c r="F43" s="3098">
        <f>'R.GUI MAIL'!Z20</f>
        <v>0</v>
      </c>
      <c r="G43" s="3099"/>
      <c r="H43" s="3098">
        <f>'R.FILE GOC'!AC20</f>
        <v>0</v>
      </c>
      <c r="I43" s="3099"/>
      <c r="J43" s="3098">
        <f>'R.GUI MAIL'!AF20</f>
        <v>0</v>
      </c>
      <c r="K43" s="3099"/>
      <c r="L43" s="3098">
        <f>'R.FILE GOC'!AI20</f>
        <v>0</v>
      </c>
      <c r="M43" s="3099"/>
      <c r="N43" s="3098">
        <f>'R.GUI MAIL'!AL20</f>
        <v>0</v>
      </c>
      <c r="O43" s="3099"/>
      <c r="P43" s="3098">
        <f>'R.FILE GOC'!AO20</f>
        <v>0</v>
      </c>
      <c r="Q43" s="3099"/>
      <c r="R43" s="509"/>
      <c r="S43" s="509"/>
    </row>
    <row r="44" spans="1:19" s="502" customFormat="1" ht="27.75" customHeight="1">
      <c r="A44" s="510"/>
      <c r="B44" s="511"/>
      <c r="C44" s="511"/>
      <c r="D44" s="512"/>
      <c r="E44" s="513"/>
      <c r="F44" s="3510"/>
      <c r="G44" s="3510"/>
      <c r="H44" s="3510"/>
      <c r="I44" s="3510"/>
      <c r="J44" s="3796"/>
      <c r="K44" s="3796"/>
      <c r="L44" s="3796"/>
      <c r="M44" s="3796"/>
      <c r="N44" s="3796"/>
      <c r="O44" s="3796"/>
      <c r="P44" s="3796"/>
      <c r="Q44" s="3796"/>
      <c r="R44" s="514"/>
      <c r="S44" s="514"/>
    </row>
    <row r="45" spans="1:19" ht="20.25" customHeight="1">
      <c r="A45" s="516"/>
      <c r="B45" s="517"/>
      <c r="C45" s="517"/>
      <c r="D45" s="518"/>
      <c r="E45" s="517"/>
      <c r="F45" s="517"/>
      <c r="G45" s="517"/>
      <c r="H45" s="517"/>
      <c r="I45" s="517"/>
      <c r="J45" s="517"/>
      <c r="K45" s="517"/>
      <c r="L45" s="517"/>
      <c r="M45" s="517"/>
      <c r="N45" s="517"/>
      <c r="O45" s="517"/>
      <c r="P45" s="517"/>
      <c r="Q45" s="517"/>
    </row>
    <row r="46" spans="1:19" ht="12.75" customHeight="1">
      <c r="A46" s="519"/>
      <c r="B46" s="517"/>
      <c r="C46" s="517"/>
      <c r="D46" s="510"/>
      <c r="E46" s="517"/>
      <c r="F46" s="520"/>
      <c r="G46" s="521"/>
      <c r="H46" s="510"/>
      <c r="I46" s="522"/>
      <c r="J46" s="522"/>
      <c r="K46" s="522"/>
      <c r="L46" s="522"/>
      <c r="M46" s="522"/>
      <c r="N46" s="522"/>
      <c r="O46" s="522"/>
      <c r="P46" s="522"/>
      <c r="Q46" s="522"/>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7" type="noConversion"/>
  <conditionalFormatting sqref="F7:F8 J7:J8">
    <cfRule type="expression" dxfId="711" priority="140">
      <formula>F7&lt;10</formula>
    </cfRule>
    <cfRule type="expression" dxfId="710" priority="141">
      <formula>F7&gt;15</formula>
    </cfRule>
  </conditionalFormatting>
  <conditionalFormatting sqref="F9 F12 J9 J12">
    <cfRule type="expression" dxfId="709" priority="138">
      <formula>F9&lt;40</formula>
    </cfRule>
    <cfRule type="expression" dxfId="708" priority="139">
      <formula>F9&gt;60</formula>
    </cfRule>
  </conditionalFormatting>
  <conditionalFormatting sqref="F10 F13 J10 J13">
    <cfRule type="expression" dxfId="707" priority="136">
      <formula>F10&lt;5.2</formula>
    </cfRule>
    <cfRule type="expression" dxfId="706" priority="137">
      <formula>F10&gt;7.8</formula>
    </cfRule>
  </conditionalFormatting>
  <conditionalFormatting sqref="F11 F14 J11 J14">
    <cfRule type="expression" dxfId="705" priority="135">
      <formula>F11&gt;0.4</formula>
    </cfRule>
  </conditionalFormatting>
  <conditionalFormatting sqref="F15 J15">
    <cfRule type="expression" dxfId="704" priority="133">
      <formula>F15&lt;0.8</formula>
    </cfRule>
    <cfRule type="expression" dxfId="703" priority="134">
      <formula>F15&gt;1.2</formula>
    </cfRule>
  </conditionalFormatting>
  <conditionalFormatting sqref="F16 J16">
    <cfRule type="expression" dxfId="702" priority="131">
      <formula>F16&lt;8</formula>
    </cfRule>
    <cfRule type="expression" dxfId="701" priority="132">
      <formula>F16&gt;10</formula>
    </cfRule>
  </conditionalFormatting>
  <conditionalFormatting sqref="N29:N30">
    <cfRule type="expression" dxfId="700" priority="125">
      <formula>N29&lt;10</formula>
    </cfRule>
    <cfRule type="expression" dxfId="699" priority="126">
      <formula>N29&gt;15</formula>
    </cfRule>
  </conditionalFormatting>
  <conditionalFormatting sqref="N31 N34">
    <cfRule type="expression" dxfId="698" priority="123">
      <formula>N31&lt;40</formula>
    </cfRule>
    <cfRule type="expression" dxfId="697" priority="124">
      <formula>N31&gt;60</formula>
    </cfRule>
  </conditionalFormatting>
  <conditionalFormatting sqref="N32 N35">
    <cfRule type="expression" dxfId="696" priority="121">
      <formula>N32&lt;5.2</formula>
    </cfRule>
    <cfRule type="expression" dxfId="695" priority="122">
      <formula>N32&gt;7.8</formula>
    </cfRule>
  </conditionalFormatting>
  <conditionalFormatting sqref="N33 N36">
    <cfRule type="expression" dxfId="694" priority="120">
      <formula>N33&gt;0.4</formula>
    </cfRule>
  </conditionalFormatting>
  <conditionalFormatting sqref="N37">
    <cfRule type="expression" dxfId="693" priority="118">
      <formula>N37&lt;0.8</formula>
    </cfRule>
    <cfRule type="expression" dxfId="692" priority="119">
      <formula>N37&gt;1.2</formula>
    </cfRule>
  </conditionalFormatting>
  <conditionalFormatting sqref="N38">
    <cfRule type="expression" dxfId="691" priority="116">
      <formula>N38&lt;8</formula>
    </cfRule>
    <cfRule type="expression" dxfId="690" priority="117">
      <formula>N38&gt;10</formula>
    </cfRule>
  </conditionalFormatting>
  <conditionalFormatting sqref="N7:N8">
    <cfRule type="expression" dxfId="689" priority="106">
      <formula>N7&lt;10</formula>
    </cfRule>
    <cfRule type="expression" dxfId="688" priority="107">
      <formula>N7&gt;15</formula>
    </cfRule>
  </conditionalFormatting>
  <conditionalFormatting sqref="N9 N12">
    <cfRule type="expression" dxfId="687" priority="104">
      <formula>N9&lt;40</formula>
    </cfRule>
    <cfRule type="expression" dxfId="686" priority="105">
      <formula>N9&gt;60</formula>
    </cfRule>
  </conditionalFormatting>
  <conditionalFormatting sqref="N10 N13">
    <cfRule type="expression" dxfId="685" priority="102">
      <formula>N10&lt;5.2</formula>
    </cfRule>
    <cfRule type="expression" dxfId="684" priority="103">
      <formula>N10&gt;7.8</formula>
    </cfRule>
  </conditionalFormatting>
  <conditionalFormatting sqref="N11 N14">
    <cfRule type="expression" dxfId="683" priority="101">
      <formula>N11&gt;0.4</formula>
    </cfRule>
  </conditionalFormatting>
  <conditionalFormatting sqref="N15">
    <cfRule type="expression" dxfId="682" priority="99">
      <formula>N15&lt;0.8</formula>
    </cfRule>
    <cfRule type="expression" dxfId="681" priority="100">
      <formula>N15&gt;1.2</formula>
    </cfRule>
  </conditionalFormatting>
  <conditionalFormatting sqref="N16">
    <cfRule type="expression" dxfId="680" priority="97">
      <formula>N16&lt;8</formula>
    </cfRule>
    <cfRule type="expression" dxfId="679" priority="98">
      <formula>N16&gt;10</formula>
    </cfRule>
  </conditionalFormatting>
  <conditionalFormatting sqref="J29:J30">
    <cfRule type="expression" dxfId="678" priority="95">
      <formula>J29&lt;10</formula>
    </cfRule>
    <cfRule type="expression" dxfId="677" priority="96">
      <formula>J29&gt;15</formula>
    </cfRule>
  </conditionalFormatting>
  <conditionalFormatting sqref="J31 J34">
    <cfRule type="expression" dxfId="676" priority="93">
      <formula>J31&lt;40</formula>
    </cfRule>
    <cfRule type="expression" dxfId="675" priority="94">
      <formula>J31&gt;60</formula>
    </cfRule>
  </conditionalFormatting>
  <conditionalFormatting sqref="J32 J35">
    <cfRule type="expression" dxfId="674" priority="91">
      <formula>J32&lt;5.2</formula>
    </cfRule>
    <cfRule type="expression" dxfId="673" priority="92">
      <formula>J32&gt;7.8</formula>
    </cfRule>
  </conditionalFormatting>
  <conditionalFormatting sqref="J33 J36">
    <cfRule type="expression" dxfId="672" priority="90">
      <formula>J33&gt;0.4</formula>
    </cfRule>
  </conditionalFormatting>
  <conditionalFormatting sqref="J37">
    <cfRule type="expression" dxfId="671" priority="88">
      <formula>J37&lt;0.8</formula>
    </cfRule>
    <cfRule type="expression" dxfId="670" priority="89">
      <formula>J37&gt;1.2</formula>
    </cfRule>
  </conditionalFormatting>
  <conditionalFormatting sqref="J38">
    <cfRule type="expression" dxfId="669" priority="86">
      <formula>J38&lt;8</formula>
    </cfRule>
    <cfRule type="expression" dxfId="668" priority="87">
      <formula>J38&gt;10</formula>
    </cfRule>
  </conditionalFormatting>
  <conditionalFormatting sqref="F29:F30">
    <cfRule type="expression" dxfId="667" priority="80">
      <formula>F29&lt;10</formula>
    </cfRule>
    <cfRule type="expression" dxfId="666" priority="81">
      <formula>F29&gt;15</formula>
    </cfRule>
  </conditionalFormatting>
  <conditionalFormatting sqref="F31 F34">
    <cfRule type="expression" dxfId="665" priority="78">
      <formula>F31&lt;40</formula>
    </cfRule>
    <cfRule type="expression" dxfId="664" priority="79">
      <formula>F31&gt;60</formula>
    </cfRule>
  </conditionalFormatting>
  <conditionalFormatting sqref="F32 F35">
    <cfRule type="expression" dxfId="663" priority="76">
      <formula>F32&lt;5.2</formula>
    </cfRule>
    <cfRule type="expression" dxfId="662" priority="77">
      <formula>F32&gt;7.8</formula>
    </cfRule>
  </conditionalFormatting>
  <conditionalFormatting sqref="F33 F36">
    <cfRule type="expression" dxfId="661" priority="75">
      <formula>F33&gt;0.4</formula>
    </cfRule>
  </conditionalFormatting>
  <conditionalFormatting sqref="F37">
    <cfRule type="expression" dxfId="660" priority="73">
      <formula>F37&lt;0.8</formula>
    </cfRule>
    <cfRule type="expression" dxfId="659" priority="74">
      <formula>F37&gt;1.2</formula>
    </cfRule>
  </conditionalFormatting>
  <conditionalFormatting sqref="F38">
    <cfRule type="expression" dxfId="658" priority="71">
      <formula>F38&lt;8</formula>
    </cfRule>
    <cfRule type="expression" dxfId="657" priority="72">
      <formula>F38&gt;10</formula>
    </cfRule>
  </conditionalFormatting>
  <conditionalFormatting sqref="J8">
    <cfRule type="expression" dxfId="656" priority="61">
      <formula>J8&lt;10</formula>
    </cfRule>
    <cfRule type="expression" dxfId="655" priority="62">
      <formula>J8&gt;15</formula>
    </cfRule>
  </conditionalFormatting>
  <conditionalFormatting sqref="N8">
    <cfRule type="expression" dxfId="654" priority="59">
      <formula>N8&lt;10</formula>
    </cfRule>
    <cfRule type="expression" dxfId="653" priority="60">
      <formula>N8&gt;15</formula>
    </cfRule>
  </conditionalFormatting>
  <conditionalFormatting sqref="F8">
    <cfRule type="expression" dxfId="652" priority="57">
      <formula>F8&lt;10</formula>
    </cfRule>
    <cfRule type="expression" dxfId="651" priority="58">
      <formula>F8&gt;15</formula>
    </cfRule>
  </conditionalFormatting>
  <conditionalFormatting sqref="F8 J8">
    <cfRule type="expression" dxfId="650" priority="55">
      <formula>F8&lt;10</formula>
    </cfRule>
    <cfRule type="expression" dxfId="649" priority="56">
      <formula>F8&gt;15</formula>
    </cfRule>
  </conditionalFormatting>
  <conditionalFormatting sqref="N8">
    <cfRule type="expression" dxfId="648" priority="53">
      <formula>N8&lt;10</formula>
    </cfRule>
    <cfRule type="expression" dxfId="647" priority="54">
      <formula>N8&gt;15</formula>
    </cfRule>
  </conditionalFormatting>
  <conditionalFormatting sqref="F8">
    <cfRule type="expression" dxfId="646" priority="51">
      <formula>F8&lt;10</formula>
    </cfRule>
    <cfRule type="expression" dxfId="645" priority="52">
      <formula>F8&gt;15</formula>
    </cfRule>
  </conditionalFormatting>
  <conditionalFormatting sqref="F8">
    <cfRule type="expression" dxfId="644" priority="50">
      <formula>F8&lt;1</formula>
    </cfRule>
  </conditionalFormatting>
  <conditionalFormatting sqref="J8">
    <cfRule type="expression" dxfId="643" priority="48">
      <formula>J8&lt;10</formula>
    </cfRule>
    <cfRule type="expression" dxfId="642" priority="49">
      <formula>J8&gt;15</formula>
    </cfRule>
  </conditionalFormatting>
  <conditionalFormatting sqref="J8">
    <cfRule type="expression" dxfId="641" priority="47">
      <formula>J8&lt;1</formula>
    </cfRule>
  </conditionalFormatting>
  <conditionalFormatting sqref="N8">
    <cfRule type="expression" dxfId="640" priority="45">
      <formula>N8&lt;10</formula>
    </cfRule>
    <cfRule type="expression" dxfId="639" priority="46">
      <formula>N8&gt;15</formula>
    </cfRule>
  </conditionalFormatting>
  <conditionalFormatting sqref="N8">
    <cfRule type="expression" dxfId="638" priority="43">
      <formula>N8&lt;10</formula>
    </cfRule>
    <cfRule type="expression" dxfId="637" priority="44">
      <formula>N8&gt;15</formula>
    </cfRule>
  </conditionalFormatting>
  <conditionalFormatting sqref="N8">
    <cfRule type="expression" dxfId="636" priority="42">
      <formula>N8&lt;1</formula>
    </cfRule>
  </conditionalFormatting>
  <conditionalFormatting sqref="F30 J30">
    <cfRule type="expression" dxfId="635" priority="40">
      <formula>F30&lt;10</formula>
    </cfRule>
    <cfRule type="expression" dxfId="634" priority="41">
      <formula>F30&gt;15</formula>
    </cfRule>
  </conditionalFormatting>
  <conditionalFormatting sqref="N30">
    <cfRule type="expression" dxfId="633" priority="38">
      <formula>N30&lt;10</formula>
    </cfRule>
    <cfRule type="expression" dxfId="632" priority="39">
      <formula>N30&gt;15</formula>
    </cfRule>
  </conditionalFormatting>
  <conditionalFormatting sqref="J30">
    <cfRule type="expression" dxfId="631" priority="36">
      <formula>J30&lt;10</formula>
    </cfRule>
    <cfRule type="expression" dxfId="630" priority="37">
      <formula>J30&gt;15</formula>
    </cfRule>
  </conditionalFormatting>
  <conditionalFormatting sqref="N30">
    <cfRule type="expression" dxfId="629" priority="34">
      <formula>N30&lt;10</formula>
    </cfRule>
    <cfRule type="expression" dxfId="628" priority="35">
      <formula>N30&gt;15</formula>
    </cfRule>
  </conditionalFormatting>
  <conditionalFormatting sqref="F30">
    <cfRule type="expression" dxfId="627" priority="32">
      <formula>F30&lt;10</formula>
    </cfRule>
    <cfRule type="expression" dxfId="626" priority="33">
      <formula>F30&gt;15</formula>
    </cfRule>
  </conditionalFormatting>
  <conditionalFormatting sqref="F30 J30">
    <cfRule type="expression" dxfId="625" priority="30">
      <formula>F30&lt;10</formula>
    </cfRule>
    <cfRule type="expression" dxfId="624" priority="31">
      <formula>F30&gt;15</formula>
    </cfRule>
  </conditionalFormatting>
  <conditionalFormatting sqref="N30">
    <cfRule type="expression" dxfId="623" priority="28">
      <formula>N30&lt;10</formula>
    </cfRule>
    <cfRule type="expression" dxfId="622" priority="29">
      <formula>N30&gt;15</formula>
    </cfRule>
  </conditionalFormatting>
  <conditionalFormatting sqref="F30">
    <cfRule type="expression" dxfId="621" priority="26">
      <formula>F30&lt;10</formula>
    </cfRule>
    <cfRule type="expression" dxfId="620" priority="27">
      <formula>F30&gt;15</formula>
    </cfRule>
  </conditionalFormatting>
  <conditionalFormatting sqref="F30">
    <cfRule type="expression" dxfId="619" priority="25">
      <formula>F30&lt;1</formula>
    </cfRule>
  </conditionalFormatting>
  <conditionalFormatting sqref="J30">
    <cfRule type="expression" dxfId="618" priority="23">
      <formula>J30&lt;10</formula>
    </cfRule>
    <cfRule type="expression" dxfId="617" priority="24">
      <formula>J30&gt;15</formula>
    </cfRule>
  </conditionalFormatting>
  <conditionalFormatting sqref="J30">
    <cfRule type="expression" dxfId="616" priority="22">
      <formula>J30&lt;1</formula>
    </cfRule>
  </conditionalFormatting>
  <conditionalFormatting sqref="N30">
    <cfRule type="expression" dxfId="615" priority="20">
      <formula>N30&lt;10</formula>
    </cfRule>
    <cfRule type="expression" dxfId="614" priority="21">
      <formula>N30&gt;15</formula>
    </cfRule>
  </conditionalFormatting>
  <conditionalFormatting sqref="N30">
    <cfRule type="expression" dxfId="613" priority="18">
      <formula>N30&lt;10</formula>
    </cfRule>
    <cfRule type="expression" dxfId="612" priority="19">
      <formula>N30&gt;15</formula>
    </cfRule>
  </conditionalFormatting>
  <conditionalFormatting sqref="N30">
    <cfRule type="expression" dxfId="611" priority="17">
      <formula>N30&lt;1</formula>
    </cfRule>
  </conditionalFormatting>
  <conditionalFormatting sqref="F41:G42">
    <cfRule type="expression" dxfId="610" priority="15">
      <formula>F41&lt;65</formula>
    </cfRule>
    <cfRule type="expression" dxfId="609" priority="16">
      <formula>F41&gt;85</formula>
    </cfRule>
  </conditionalFormatting>
  <conditionalFormatting sqref="F43:G43">
    <cfRule type="expression" dxfId="608" priority="13">
      <formula>F43&lt;80</formula>
    </cfRule>
    <cfRule type="expression" dxfId="607" priority="14">
      <formula>F43&gt;90</formula>
    </cfRule>
  </conditionalFormatting>
  <conditionalFormatting sqref="H41:Q42">
    <cfRule type="expression" dxfId="606" priority="11">
      <formula>H41&lt;65</formula>
    </cfRule>
    <cfRule type="expression" dxfId="605" priority="12">
      <formula>H41&gt;85</formula>
    </cfRule>
  </conditionalFormatting>
  <conditionalFormatting sqref="H43:Q43">
    <cfRule type="expression" dxfId="604" priority="9">
      <formula>H43&lt;80</formula>
    </cfRule>
    <cfRule type="expression" dxfId="603" priority="10">
      <formula>H43&gt;90</formula>
    </cfRule>
  </conditionalFormatting>
  <conditionalFormatting sqref="F19:G20">
    <cfRule type="expression" dxfId="602" priority="7">
      <formula>F19&lt;65</formula>
    </cfRule>
    <cfRule type="expression" dxfId="601" priority="8">
      <formula>F19&gt;85</formula>
    </cfRule>
  </conditionalFormatting>
  <conditionalFormatting sqref="F21:G21">
    <cfRule type="expression" dxfId="600" priority="5">
      <formula>F21&lt;80</formula>
    </cfRule>
    <cfRule type="expression" dxfId="599" priority="6">
      <formula>F21&gt;90</formula>
    </cfRule>
  </conditionalFormatting>
  <conditionalFormatting sqref="H19:Q20">
    <cfRule type="expression" dxfId="598" priority="3">
      <formula>H19&lt;65</formula>
    </cfRule>
    <cfRule type="expression" dxfId="597" priority="4">
      <formula>H19&gt;85</formula>
    </cfRule>
  </conditionalFormatting>
  <conditionalFormatting sqref="H21:Q21">
    <cfRule type="expression" dxfId="596" priority="1">
      <formula>H21&lt;80</formula>
    </cfRule>
    <cfRule type="expression" dxfId="595"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473" customWidth="1"/>
    <col min="2" max="2" width="23.375" style="523" customWidth="1"/>
    <col min="3" max="3" width="9.75" style="473" customWidth="1"/>
    <col min="4" max="4" width="14" style="473" customWidth="1"/>
    <col min="5" max="5" width="7.375" style="473" customWidth="1"/>
    <col min="6" max="6" width="3.25" style="473" customWidth="1"/>
    <col min="7" max="7" width="6.5" style="473" customWidth="1"/>
    <col min="8" max="8" width="4.375" style="473" customWidth="1"/>
    <col min="9" max="9" width="8.5" style="473" customWidth="1"/>
    <col min="10" max="10" width="2.625" style="473" customWidth="1"/>
    <col min="11" max="11" width="6.875" style="473" customWidth="1"/>
    <col min="12" max="12" width="4.25" style="473" customWidth="1"/>
    <col min="13" max="13" width="8.5" style="473" customWidth="1"/>
    <col min="14" max="14" width="2.625" style="473" customWidth="1"/>
    <col min="15" max="15" width="6.875" style="473" customWidth="1"/>
    <col min="16" max="16" width="4.25" style="473" customWidth="1"/>
    <col min="17" max="17" width="11.125" style="473" customWidth="1"/>
    <col min="18" max="16384" width="9" style="473"/>
  </cols>
  <sheetData>
    <row r="1" spans="1:17" ht="27.75" customHeight="1">
      <c r="A1" s="3635" t="s">
        <v>585</v>
      </c>
      <c r="B1" s="3635"/>
      <c r="C1" s="3635"/>
      <c r="D1" s="3635"/>
      <c r="E1" s="3635"/>
      <c r="F1" s="3635"/>
      <c r="G1" s="3635"/>
      <c r="H1" s="3635"/>
      <c r="I1" s="3635"/>
      <c r="J1" s="3635"/>
      <c r="K1" s="3635"/>
      <c r="L1" s="3635"/>
      <c r="M1" s="471"/>
      <c r="N1" s="471"/>
      <c r="O1" s="471"/>
      <c r="P1" s="471"/>
      <c r="Q1" s="471"/>
    </row>
    <row r="2" spans="1:17" ht="36.75" customHeight="1">
      <c r="A2" s="3636" t="s">
        <v>915</v>
      </c>
      <c r="B2" s="3636"/>
      <c r="C2" s="3636"/>
      <c r="D2" s="3636"/>
      <c r="E2" s="3636"/>
      <c r="F2" s="3636"/>
      <c r="G2" s="3636"/>
      <c r="H2" s="3636"/>
      <c r="I2" s="3636"/>
      <c r="J2" s="3636"/>
      <c r="K2" s="3636"/>
      <c r="L2" s="3636"/>
      <c r="M2" s="474"/>
      <c r="N2" s="474"/>
      <c r="O2" s="3292" t="s">
        <v>638</v>
      </c>
      <c r="P2" s="3294"/>
      <c r="Q2" s="74" t="s">
        <v>17</v>
      </c>
    </row>
    <row r="3" spans="1:17" ht="29.25" customHeight="1">
      <c r="A3" s="475"/>
      <c r="B3" s="476" t="s">
        <v>588</v>
      </c>
      <c r="C3" s="1991" t="str">
        <f>MENU!$AC$9</f>
        <v>Thứ 5,</v>
      </c>
      <c r="D3" s="1815" t="str">
        <f>MENU!$AD$9</f>
        <v>2024/08/01</v>
      </c>
      <c r="E3" s="3785"/>
      <c r="F3" s="3785"/>
      <c r="G3" s="477"/>
      <c r="H3" s="477"/>
      <c r="I3" s="3691"/>
      <c r="J3" s="3691"/>
      <c r="K3" s="3691"/>
      <c r="L3" s="525"/>
      <c r="M3" s="476"/>
      <c r="N3" s="476"/>
      <c r="O3" s="3641" t="str">
        <f>'1.xi den'!$R$3</f>
        <v>L.Yen</v>
      </c>
      <c r="P3" s="3642"/>
      <c r="Q3" s="526" t="s">
        <v>639</v>
      </c>
    </row>
    <row r="4" spans="1:17" s="527" customFormat="1" ht="39" customHeight="1">
      <c r="A4" s="3684" t="s">
        <v>640</v>
      </c>
      <c r="B4" s="3687" t="s">
        <v>641</v>
      </c>
      <c r="C4" s="3687" t="s">
        <v>642</v>
      </c>
      <c r="D4" s="3689" t="s">
        <v>643</v>
      </c>
      <c r="E4" s="3661" t="s">
        <v>916</v>
      </c>
      <c r="F4" s="3662"/>
      <c r="G4" s="3662"/>
      <c r="H4" s="3662"/>
      <c r="I4" s="3662"/>
      <c r="J4" s="3662"/>
      <c r="K4" s="3662"/>
      <c r="L4" s="3662"/>
      <c r="M4" s="3662"/>
      <c r="N4" s="3662"/>
      <c r="O4" s="3662"/>
      <c r="P4" s="3663"/>
      <c r="Q4" s="3216" t="s">
        <v>644</v>
      </c>
    </row>
    <row r="5" spans="1:17" s="527" customFormat="1" ht="25.5" customHeight="1">
      <c r="A5" s="3685"/>
      <c r="B5" s="3687"/>
      <c r="C5" s="3687"/>
      <c r="D5" s="3689"/>
      <c r="E5" s="3646">
        <v>0.375</v>
      </c>
      <c r="F5" s="3647"/>
      <c r="G5" s="3647"/>
      <c r="H5" s="3647"/>
      <c r="I5" s="3648">
        <v>0.5625</v>
      </c>
      <c r="J5" s="3649"/>
      <c r="K5" s="3649"/>
      <c r="L5" s="3650"/>
      <c r="M5" s="3648">
        <v>0.72916666666666663</v>
      </c>
      <c r="N5" s="3649"/>
      <c r="O5" s="3649"/>
      <c r="P5" s="3650"/>
      <c r="Q5" s="3217"/>
    </row>
    <row r="6" spans="1:17" s="527" customFormat="1" ht="40.5" customHeight="1">
      <c r="A6" s="3686"/>
      <c r="B6" s="3688"/>
      <c r="C6" s="3688"/>
      <c r="D6" s="3690"/>
      <c r="E6" s="528" t="s">
        <v>645</v>
      </c>
      <c r="F6" s="3507" t="s">
        <v>646</v>
      </c>
      <c r="G6" s="3512"/>
      <c r="H6" s="3693"/>
      <c r="I6" s="528" t="s">
        <v>645</v>
      </c>
      <c r="J6" s="3507" t="s">
        <v>646</v>
      </c>
      <c r="K6" s="3512"/>
      <c r="L6" s="3693"/>
      <c r="M6" s="528" t="s">
        <v>645</v>
      </c>
      <c r="N6" s="3507" t="s">
        <v>646</v>
      </c>
      <c r="O6" s="3512"/>
      <c r="P6" s="3693"/>
      <c r="Q6" s="270" t="s">
        <v>647</v>
      </c>
    </row>
    <row r="7" spans="1:17" s="527" customFormat="1" ht="27.75" customHeight="1">
      <c r="A7" s="529">
        <v>1</v>
      </c>
      <c r="B7" s="530" t="s">
        <v>648</v>
      </c>
      <c r="C7" s="531" t="s">
        <v>649</v>
      </c>
      <c r="D7" s="486" t="s">
        <v>725</v>
      </c>
      <c r="E7" s="601">
        <f>'R.GUI MAIL'!H25</f>
        <v>41</v>
      </c>
      <c r="F7" s="492" t="s">
        <v>650</v>
      </c>
      <c r="G7" s="493">
        <f>'R.GUI MAIL'!K25</f>
        <v>0</v>
      </c>
      <c r="H7" s="209" t="s">
        <v>651</v>
      </c>
      <c r="I7" s="601">
        <f>'R.GUI MAIL'!N25</f>
        <v>40</v>
      </c>
      <c r="J7" s="492" t="s">
        <v>650</v>
      </c>
      <c r="K7" s="493">
        <f>'R.GUI MAIL'!Q25</f>
        <v>0</v>
      </c>
      <c r="L7" s="209" t="s">
        <v>651</v>
      </c>
      <c r="M7" s="601">
        <f>'R.GUI MAIL'!T25</f>
        <v>38</v>
      </c>
      <c r="N7" s="492" t="s">
        <v>635</v>
      </c>
      <c r="O7" s="493">
        <f>'R.GUI MAIL'!W25</f>
        <v>4.66</v>
      </c>
      <c r="P7" s="209" t="s">
        <v>636</v>
      </c>
      <c r="Q7" s="270" t="s">
        <v>652</v>
      </c>
    </row>
    <row r="8" spans="1:17" s="536" customFormat="1" ht="27.75" customHeight="1">
      <c r="A8" s="529">
        <v>2</v>
      </c>
      <c r="B8" s="533" t="s">
        <v>653</v>
      </c>
      <c r="C8" s="534" t="s">
        <v>654</v>
      </c>
      <c r="D8" s="535" t="s">
        <v>726</v>
      </c>
      <c r="E8" s="601">
        <f>'R.GUI MAIL'!H26</f>
        <v>10.584999999999999</v>
      </c>
      <c r="F8" s="492" t="s">
        <v>655</v>
      </c>
      <c r="G8" s="493">
        <f>'R.GUI MAIL'!K26</f>
        <v>155.89296875000008</v>
      </c>
      <c r="H8" s="209" t="s">
        <v>656</v>
      </c>
      <c r="I8" s="601">
        <f>'R.GUI MAIL'!N26</f>
        <v>11.315000000000001</v>
      </c>
      <c r="J8" s="492" t="s">
        <v>655</v>
      </c>
      <c r="K8" s="493">
        <f>'R.GUI MAIL'!Q26</f>
        <v>96.466406249999892</v>
      </c>
      <c r="L8" s="209" t="s">
        <v>656</v>
      </c>
      <c r="M8" s="601">
        <f>'R.GUI MAIL'!T26</f>
        <v>9.8550000000000004</v>
      </c>
      <c r="N8" s="492" t="s">
        <v>635</v>
      </c>
      <c r="O8" s="493">
        <f>'R.GUI MAIL'!W26</f>
        <v>215.31953124999995</v>
      </c>
      <c r="P8" s="209" t="s">
        <v>656</v>
      </c>
      <c r="Q8" s="270" t="s">
        <v>687</v>
      </c>
    </row>
    <row r="9" spans="1:17" s="536" customFormat="1" ht="27.75" customHeight="1">
      <c r="A9" s="529">
        <v>3</v>
      </c>
      <c r="B9" s="3694" t="s">
        <v>658</v>
      </c>
      <c r="C9" s="3697" t="s">
        <v>429</v>
      </c>
      <c r="D9" s="486" t="s">
        <v>727</v>
      </c>
      <c r="E9" s="601">
        <f>'R.GUI MAIL'!H27</f>
        <v>42.5</v>
      </c>
      <c r="F9" s="492" t="s">
        <v>650</v>
      </c>
      <c r="G9" s="493">
        <f>'R.GUI MAIL'!K27</f>
        <v>37.012500000000003</v>
      </c>
      <c r="H9" s="209" t="s">
        <v>651</v>
      </c>
      <c r="I9" s="601">
        <f>'R.GUI MAIL'!N27</f>
        <v>50</v>
      </c>
      <c r="J9" s="492" t="s">
        <v>650</v>
      </c>
      <c r="K9" s="493">
        <f>'R.GUI MAIL'!Q27</f>
        <v>0</v>
      </c>
      <c r="L9" s="209" t="s">
        <v>651</v>
      </c>
      <c r="M9" s="601">
        <f>'R.GUI MAIL'!T27</f>
        <v>43</v>
      </c>
      <c r="N9" s="492" t="s">
        <v>635</v>
      </c>
      <c r="O9" s="493">
        <f>'R.GUI MAIL'!W27</f>
        <v>34.545000000000002</v>
      </c>
      <c r="P9" s="209" t="s">
        <v>636</v>
      </c>
      <c r="Q9" s="270" t="s">
        <v>689</v>
      </c>
    </row>
    <row r="10" spans="1:17" s="536" customFormat="1" ht="27.75" customHeight="1">
      <c r="A10" s="529">
        <v>4</v>
      </c>
      <c r="B10" s="3695"/>
      <c r="C10" s="3697"/>
      <c r="D10" s="486" t="s">
        <v>723</v>
      </c>
      <c r="E10" s="601">
        <f>'R.GUI MAIL'!H28</f>
        <v>7.4561403508771926</v>
      </c>
      <c r="F10" s="492" t="s">
        <v>650</v>
      </c>
      <c r="G10" s="493">
        <f>'R.GUI MAIL'!K28</f>
        <v>0</v>
      </c>
      <c r="H10" s="209" t="s">
        <v>651</v>
      </c>
      <c r="I10" s="601">
        <f>'R.GUI MAIL'!N28</f>
        <v>8.3333333333333339</v>
      </c>
      <c r="J10" s="492" t="s">
        <v>650</v>
      </c>
      <c r="K10" s="493">
        <f>'R.GUI MAIL'!Q28</f>
        <v>0</v>
      </c>
      <c r="L10" s="209" t="s">
        <v>651</v>
      </c>
      <c r="M10" s="601">
        <f>'R.GUI MAIL'!T28</f>
        <v>8.9583333333333339</v>
      </c>
      <c r="N10" s="492" t="s">
        <v>635</v>
      </c>
      <c r="O10" s="493">
        <f>'R.GUI MAIL'!W28</f>
        <v>0</v>
      </c>
      <c r="P10" s="209" t="s">
        <v>636</v>
      </c>
      <c r="Q10" s="270" t="s">
        <v>690</v>
      </c>
    </row>
    <row r="11" spans="1:17" s="536" customFormat="1" ht="27.75" customHeight="1">
      <c r="A11" s="529">
        <v>5</v>
      </c>
      <c r="B11" s="3696"/>
      <c r="C11" s="3697"/>
      <c r="D11" s="486" t="s">
        <v>611</v>
      </c>
      <c r="E11" s="602">
        <f>'R.GUI MAIL'!H29</f>
        <v>0.11</v>
      </c>
      <c r="F11" s="492" t="s">
        <v>650</v>
      </c>
      <c r="G11" s="493">
        <f>'R.GUI MAIL'!K29</f>
        <v>0</v>
      </c>
      <c r="H11" s="64" t="s">
        <v>651</v>
      </c>
      <c r="I11" s="602">
        <f>'R.GUI MAIL'!N29</f>
        <v>0.12</v>
      </c>
      <c r="J11" s="492" t="s">
        <v>650</v>
      </c>
      <c r="K11" s="493">
        <f>'R.GUI MAIL'!Q29</f>
        <v>0</v>
      </c>
      <c r="L11" s="64" t="s">
        <v>651</v>
      </c>
      <c r="M11" s="602">
        <f>'R.GUI MAIL'!T29</f>
        <v>0.14000000000000001</v>
      </c>
      <c r="N11" s="492" t="s">
        <v>635</v>
      </c>
      <c r="O11" s="493">
        <f>'R.GUI MAIL'!W29</f>
        <v>0</v>
      </c>
      <c r="P11" s="64" t="s">
        <v>636</v>
      </c>
      <c r="Q11" s="538"/>
    </row>
    <row r="12" spans="1:17" s="541" customFormat="1" ht="27.75" customHeight="1">
      <c r="A12" s="529">
        <v>6</v>
      </c>
      <c r="B12" s="3694" t="s">
        <v>661</v>
      </c>
      <c r="C12" s="531" t="s">
        <v>429</v>
      </c>
      <c r="D12" s="486" t="s">
        <v>439</v>
      </c>
      <c r="E12" s="601">
        <f>'R.GUI MAIL'!H30</f>
        <v>1</v>
      </c>
      <c r="F12" s="492"/>
      <c r="G12" s="539">
        <f>'R.GUI MAIL'!K30</f>
        <v>0</v>
      </c>
      <c r="H12" s="64" t="s">
        <v>651</v>
      </c>
      <c r="I12" s="601">
        <f>'R.GUI MAIL'!N30</f>
        <v>0.9</v>
      </c>
      <c r="J12" s="492"/>
      <c r="K12" s="539">
        <f>'R.GUI MAIL'!Q30</f>
        <v>0.12339999999999998</v>
      </c>
      <c r="L12" s="64" t="s">
        <v>651</v>
      </c>
      <c r="M12" s="601">
        <f>'R.GUI MAIL'!T30</f>
        <v>0.95</v>
      </c>
      <c r="N12" s="492"/>
      <c r="O12" s="539">
        <f>'R.GUI MAIL'!W30</f>
        <v>6.1700000000000053E-2</v>
      </c>
      <c r="P12" s="64" t="s">
        <v>636</v>
      </c>
      <c r="Q12" s="540" t="s">
        <v>662</v>
      </c>
    </row>
    <row r="13" spans="1:17" s="541" customFormat="1" ht="27.75" customHeight="1">
      <c r="A13" s="529">
        <v>7</v>
      </c>
      <c r="B13" s="3696"/>
      <c r="C13" s="542" t="s">
        <v>663</v>
      </c>
      <c r="D13" s="983" t="s">
        <v>964</v>
      </c>
      <c r="E13" s="601">
        <f>'R.GUI MAIL'!H31</f>
        <v>10</v>
      </c>
      <c r="F13" s="492" t="s">
        <v>650</v>
      </c>
      <c r="G13" s="493">
        <f>'R.GUI MAIL'!K31</f>
        <v>0</v>
      </c>
      <c r="H13" s="209" t="s">
        <v>651</v>
      </c>
      <c r="I13" s="601">
        <f>'R.GUI MAIL'!N31</f>
        <v>10</v>
      </c>
      <c r="J13" s="492" t="s">
        <v>650</v>
      </c>
      <c r="K13" s="493">
        <f>'R.GUI MAIL'!Q31</f>
        <v>0</v>
      </c>
      <c r="L13" s="209" t="s">
        <v>651</v>
      </c>
      <c r="M13" s="601">
        <f>'R.GUI MAIL'!T31</f>
        <v>9.5</v>
      </c>
      <c r="N13" s="492" t="s">
        <v>635</v>
      </c>
      <c r="O13" s="493">
        <f>'R.GUI MAIL'!W31</f>
        <v>0</v>
      </c>
      <c r="P13" s="209" t="s">
        <v>636</v>
      </c>
      <c r="Q13" s="209"/>
    </row>
    <row r="14" spans="1:17" s="536" customFormat="1" ht="30.75" customHeight="1">
      <c r="A14" s="3698" t="s">
        <v>664</v>
      </c>
      <c r="B14" s="3698"/>
      <c r="C14" s="3698"/>
      <c r="D14" s="3698"/>
      <c r="E14" s="3698"/>
      <c r="F14" s="3698"/>
      <c r="G14" s="3698"/>
      <c r="H14" s="3698"/>
      <c r="I14" s="3698"/>
      <c r="J14" s="3698"/>
      <c r="K14" s="3698"/>
      <c r="L14" s="3698"/>
      <c r="M14" s="3698"/>
      <c r="N14" s="3698"/>
      <c r="O14" s="3698"/>
      <c r="P14" s="3698"/>
      <c r="Q14" s="3698"/>
    </row>
    <row r="15" spans="1:17" s="536" customFormat="1" ht="37.5" customHeight="1">
      <c r="A15" s="209" t="s">
        <v>665</v>
      </c>
      <c r="B15" s="543" t="s">
        <v>666</v>
      </c>
      <c r="C15" s="543" t="s">
        <v>667</v>
      </c>
      <c r="D15" s="543" t="s">
        <v>668</v>
      </c>
      <c r="E15" s="3658" t="s">
        <v>45</v>
      </c>
      <c r="F15" s="3658"/>
      <c r="G15" s="3658" t="s">
        <v>61</v>
      </c>
      <c r="H15" s="3658"/>
      <c r="I15" s="3658" t="s">
        <v>45</v>
      </c>
      <c r="J15" s="3658"/>
      <c r="K15" s="3658" t="s">
        <v>61</v>
      </c>
      <c r="L15" s="3658"/>
      <c r="M15" s="3658" t="s">
        <v>45</v>
      </c>
      <c r="N15" s="3658"/>
      <c r="O15" s="3658" t="s">
        <v>61</v>
      </c>
      <c r="P15" s="3658"/>
      <c r="Q15" s="324"/>
    </row>
    <row r="16" spans="1:17" s="536" customFormat="1" ht="27.75" customHeight="1">
      <c r="A16" s="209">
        <v>1</v>
      </c>
      <c r="B16" s="543" t="s">
        <v>669</v>
      </c>
      <c r="C16" s="544" t="s">
        <v>670</v>
      </c>
      <c r="D16" s="486" t="s">
        <v>671</v>
      </c>
      <c r="E16" s="3797">
        <f>'R.FILE GOC'!H34</f>
        <v>0</v>
      </c>
      <c r="F16" s="3798"/>
      <c r="G16" s="3193">
        <f>'R.FILE GOC'!K34</f>
        <v>62</v>
      </c>
      <c r="H16" s="3194"/>
      <c r="I16" s="3797">
        <f>'R.FILE GOC'!N34</f>
        <v>0</v>
      </c>
      <c r="J16" s="3798"/>
      <c r="K16" s="3193">
        <f>'R.FILE GOC'!Q34</f>
        <v>60</v>
      </c>
      <c r="L16" s="3194"/>
      <c r="M16" s="3797">
        <f>'R.GUI MAIL'!T34</f>
        <v>0</v>
      </c>
      <c r="N16" s="3798"/>
      <c r="O16" s="3183">
        <f>'R.FILE GOC'!W34</f>
        <v>59</v>
      </c>
      <c r="P16" s="3183"/>
      <c r="Q16" s="493"/>
    </row>
    <row r="17" spans="1:17" s="536" customFormat="1" ht="27.75" customHeight="1">
      <c r="A17" s="209">
        <v>2</v>
      </c>
      <c r="B17" s="543" t="s">
        <v>672</v>
      </c>
      <c r="C17" s="544" t="s">
        <v>670</v>
      </c>
      <c r="D17" s="486" t="s">
        <v>673</v>
      </c>
      <c r="E17" s="3193">
        <f>'R.FILE GOC'!H35</f>
        <v>0</v>
      </c>
      <c r="F17" s="3194"/>
      <c r="G17" s="3193">
        <f>'R.FILE GOC'!K35</f>
        <v>66</v>
      </c>
      <c r="H17" s="3194"/>
      <c r="I17" s="3193">
        <f>'R.FILE GOC'!N35</f>
        <v>0</v>
      </c>
      <c r="J17" s="3194"/>
      <c r="K17" s="3193">
        <f>'R.FILE GOC'!Q35</f>
        <v>66</v>
      </c>
      <c r="L17" s="3194"/>
      <c r="M17" s="3193">
        <f>'R.GUI MAIL'!T35</f>
        <v>0</v>
      </c>
      <c r="N17" s="3194"/>
      <c r="O17" s="3183">
        <f>'R.FILE GOC'!W35</f>
        <v>66</v>
      </c>
      <c r="P17" s="3183"/>
      <c r="Q17" s="493"/>
    </row>
    <row r="18" spans="1:17" s="536" customFormat="1" ht="27.75" customHeight="1">
      <c r="A18" s="209">
        <v>3</v>
      </c>
      <c r="B18" s="543" t="s">
        <v>674</v>
      </c>
      <c r="C18" s="544" t="s">
        <v>670</v>
      </c>
      <c r="D18" s="486" t="s">
        <v>675</v>
      </c>
      <c r="E18" s="3797">
        <f>'R.FILE GOC'!H36</f>
        <v>0</v>
      </c>
      <c r="F18" s="3798"/>
      <c r="G18" s="3193">
        <f>'R.FILE GOC'!K36</f>
        <v>84</v>
      </c>
      <c r="H18" s="3194"/>
      <c r="I18" s="3797">
        <f>'R.FILE GOC'!N36</f>
        <v>0</v>
      </c>
      <c r="J18" s="3798"/>
      <c r="K18" s="3193">
        <f>'R.FILE GOC'!Q36</f>
        <v>83</v>
      </c>
      <c r="L18" s="3194"/>
      <c r="M18" s="3797">
        <f>'R.GUI MAIL'!T36</f>
        <v>0</v>
      </c>
      <c r="N18" s="3798"/>
      <c r="O18" s="3183">
        <f>'R.FILE GOC'!W36</f>
        <v>82</v>
      </c>
      <c r="P18" s="3183"/>
      <c r="Q18" s="493"/>
    </row>
    <row r="19" spans="1:17" ht="36.75" customHeight="1">
      <c r="A19" s="3636" t="s">
        <v>915</v>
      </c>
      <c r="B19" s="3636"/>
      <c r="C19" s="3636"/>
      <c r="D19" s="3636"/>
      <c r="E19" s="3636"/>
      <c r="F19" s="3636"/>
      <c r="G19" s="3636"/>
      <c r="H19" s="3636"/>
      <c r="I19" s="3636"/>
      <c r="J19" s="3636"/>
      <c r="K19" s="3636"/>
      <c r="L19" s="3636"/>
      <c r="M19" s="474"/>
      <c r="N19" s="474"/>
      <c r="O19" s="474"/>
      <c r="P19" s="474"/>
      <c r="Q19" s="545"/>
    </row>
    <row r="20" spans="1:17" ht="21.75" customHeight="1">
      <c r="A20" s="475"/>
      <c r="B20" s="476" t="s">
        <v>676</v>
      </c>
      <c r="C20" s="477"/>
      <c r="D20" s="477"/>
      <c r="E20" s="477"/>
      <c r="F20" s="477"/>
      <c r="G20" s="477"/>
      <c r="H20" s="477"/>
      <c r="I20" s="3691"/>
      <c r="J20" s="3691"/>
      <c r="K20" s="3691"/>
      <c r="L20" s="525"/>
      <c r="M20" s="3691"/>
      <c r="N20" s="3691"/>
      <c r="O20" s="3691"/>
      <c r="P20" s="525"/>
      <c r="Q20" s="546"/>
    </row>
    <row r="21" spans="1:17" s="527" customFormat="1" ht="37.5" customHeight="1">
      <c r="A21" s="3684" t="s">
        <v>677</v>
      </c>
      <c r="B21" s="3687" t="s">
        <v>641</v>
      </c>
      <c r="C21" s="3687" t="s">
        <v>642</v>
      </c>
      <c r="D21" s="3689" t="s">
        <v>643</v>
      </c>
      <c r="E21" s="3661" t="s">
        <v>910</v>
      </c>
      <c r="F21" s="3662"/>
      <c r="G21" s="3662"/>
      <c r="H21" s="3662"/>
      <c r="I21" s="3662"/>
      <c r="J21" s="3662"/>
      <c r="K21" s="3662"/>
      <c r="L21" s="3662"/>
      <c r="M21" s="3662"/>
      <c r="N21" s="3662"/>
      <c r="O21" s="3662"/>
      <c r="P21" s="3663"/>
      <c r="Q21" s="3205" t="s">
        <v>644</v>
      </c>
    </row>
    <row r="22" spans="1:17" s="527" customFormat="1" ht="20.25" customHeight="1">
      <c r="A22" s="3685"/>
      <c r="B22" s="3687"/>
      <c r="C22" s="3687"/>
      <c r="D22" s="3689"/>
      <c r="E22" s="3646">
        <v>0.875</v>
      </c>
      <c r="F22" s="3647"/>
      <c r="G22" s="3647"/>
      <c r="H22" s="3647"/>
      <c r="I22" s="3648">
        <v>8.3333333333333329E-2</v>
      </c>
      <c r="J22" s="3649"/>
      <c r="K22" s="3649"/>
      <c r="L22" s="3650"/>
      <c r="M22" s="3648">
        <v>0.22916666666666666</v>
      </c>
      <c r="N22" s="3649"/>
      <c r="O22" s="3649"/>
      <c r="P22" s="3650"/>
      <c r="Q22" s="3205"/>
    </row>
    <row r="23" spans="1:17" s="527" customFormat="1" ht="36" customHeight="1">
      <c r="A23" s="3686"/>
      <c r="B23" s="3688"/>
      <c r="C23" s="3688"/>
      <c r="D23" s="3690"/>
      <c r="E23" s="528" t="s">
        <v>645</v>
      </c>
      <c r="F23" s="3507" t="s">
        <v>646</v>
      </c>
      <c r="G23" s="3512"/>
      <c r="H23" s="3693"/>
      <c r="I23" s="528" t="s">
        <v>645</v>
      </c>
      <c r="J23" s="3507" t="s">
        <v>646</v>
      </c>
      <c r="K23" s="3512"/>
      <c r="L23" s="3693"/>
      <c r="M23" s="528" t="s">
        <v>645</v>
      </c>
      <c r="N23" s="3507" t="s">
        <v>646</v>
      </c>
      <c r="O23" s="3512"/>
      <c r="P23" s="3693"/>
      <c r="Q23" s="270" t="s">
        <v>647</v>
      </c>
    </row>
    <row r="24" spans="1:17" s="527" customFormat="1" ht="30.75" customHeight="1">
      <c r="A24" s="529">
        <v>1</v>
      </c>
      <c r="B24" s="530" t="s">
        <v>648</v>
      </c>
      <c r="C24" s="531" t="s">
        <v>649</v>
      </c>
      <c r="D24" s="486" t="s">
        <v>725</v>
      </c>
      <c r="E24" s="601">
        <f>'R.GUI MAIL'!Z25</f>
        <v>40</v>
      </c>
      <c r="F24" s="492" t="s">
        <v>601</v>
      </c>
      <c r="G24" s="493">
        <f>'R.GUI MAIL'!AC25</f>
        <v>0</v>
      </c>
      <c r="H24" s="209" t="s">
        <v>678</v>
      </c>
      <c r="I24" s="601">
        <f>'R.GUI MAIL'!AF25</f>
        <v>54</v>
      </c>
      <c r="J24" s="492" t="s">
        <v>601</v>
      </c>
      <c r="K24" s="493">
        <f>'R.GUI MAIL'!AI25</f>
        <v>0</v>
      </c>
      <c r="L24" s="493" t="s">
        <v>678</v>
      </c>
      <c r="M24" s="601">
        <f>'R.GUI MAIL'!AL25</f>
        <v>38</v>
      </c>
      <c r="N24" s="492" t="s">
        <v>601</v>
      </c>
      <c r="O24" s="493">
        <f>'R.GUI MAIL'!AO25</f>
        <v>4.66</v>
      </c>
      <c r="P24" s="209" t="s">
        <v>678</v>
      </c>
      <c r="Q24" s="270" t="s">
        <v>652</v>
      </c>
    </row>
    <row r="25" spans="1:17" s="536" customFormat="1" ht="30.75" customHeight="1">
      <c r="A25" s="529">
        <v>2</v>
      </c>
      <c r="B25" s="533" t="s">
        <v>653</v>
      </c>
      <c r="C25" s="534" t="s">
        <v>679</v>
      </c>
      <c r="D25" s="535" t="s">
        <v>726</v>
      </c>
      <c r="E25" s="601">
        <f>'R.GUI MAIL'!Z26</f>
        <v>10.584999999999999</v>
      </c>
      <c r="F25" s="492" t="s">
        <v>601</v>
      </c>
      <c r="G25" s="493">
        <f>'R.GUI MAIL'!AC26</f>
        <v>155.89296875000008</v>
      </c>
      <c r="H25" s="209" t="s">
        <v>680</v>
      </c>
      <c r="I25" s="601">
        <f>'R.GUI MAIL'!AF26</f>
        <v>9.49</v>
      </c>
      <c r="J25" s="492" t="s">
        <v>601</v>
      </c>
      <c r="K25" s="493">
        <f>'R.GUI MAIL'!AI26</f>
        <v>245.03281249999998</v>
      </c>
      <c r="L25" s="493" t="s">
        <v>680</v>
      </c>
      <c r="M25" s="601">
        <f>'R.GUI MAIL'!AL26</f>
        <v>8.76</v>
      </c>
      <c r="N25" s="492" t="s">
        <v>601</v>
      </c>
      <c r="O25" s="493">
        <f>'R.GUI MAIL'!AO26</f>
        <v>304.45937500000002</v>
      </c>
      <c r="P25" s="209" t="s">
        <v>680</v>
      </c>
      <c r="Q25" s="270" t="s">
        <v>687</v>
      </c>
    </row>
    <row r="26" spans="1:17" s="536" customFormat="1" ht="30.75" customHeight="1">
      <c r="A26" s="529">
        <v>3</v>
      </c>
      <c r="B26" s="3694" t="s">
        <v>681</v>
      </c>
      <c r="C26" s="3697" t="s">
        <v>682</v>
      </c>
      <c r="D26" s="486" t="s">
        <v>727</v>
      </c>
      <c r="E26" s="601">
        <f>'R.GUI MAIL'!Z27</f>
        <v>48</v>
      </c>
      <c r="F26" s="492" t="s">
        <v>601</v>
      </c>
      <c r="G26" s="493">
        <f>'R.GUI MAIL'!AC27</f>
        <v>9.8699999999999992</v>
      </c>
      <c r="H26" s="209" t="s">
        <v>678</v>
      </c>
      <c r="I26" s="601">
        <f>'R.GUI MAIL'!AF27</f>
        <v>47</v>
      </c>
      <c r="J26" s="492" t="s">
        <v>601</v>
      </c>
      <c r="K26" s="493">
        <f>'R.GUI MAIL'!AI27</f>
        <v>14.805</v>
      </c>
      <c r="L26" s="493" t="s">
        <v>678</v>
      </c>
      <c r="M26" s="601">
        <f>'R.GUI MAIL'!AL27</f>
        <v>44</v>
      </c>
      <c r="N26" s="492" t="s">
        <v>601</v>
      </c>
      <c r="O26" s="493">
        <f>'R.GUI MAIL'!AO27</f>
        <v>29.61</v>
      </c>
      <c r="P26" s="209" t="s">
        <v>678</v>
      </c>
      <c r="Q26" s="270" t="s">
        <v>689</v>
      </c>
    </row>
    <row r="27" spans="1:17" s="536" customFormat="1" ht="30.75" customHeight="1">
      <c r="A27" s="529">
        <v>4</v>
      </c>
      <c r="B27" s="3695"/>
      <c r="C27" s="3697"/>
      <c r="D27" s="486" t="s">
        <v>723</v>
      </c>
      <c r="E27" s="601">
        <f>'R.GUI MAIL'!Z28</f>
        <v>10.212765957446807</v>
      </c>
      <c r="F27" s="492" t="s">
        <v>601</v>
      </c>
      <c r="G27" s="493">
        <f>'R.GUI MAIL'!AC28</f>
        <v>0</v>
      </c>
      <c r="H27" s="209" t="s">
        <v>678</v>
      </c>
      <c r="I27" s="601">
        <f>'R.GUI MAIL'!AF28</f>
        <v>13.428571428571429</v>
      </c>
      <c r="J27" s="492" t="s">
        <v>601</v>
      </c>
      <c r="K27" s="493">
        <f>'R.GUI MAIL'!AI28</f>
        <v>0</v>
      </c>
      <c r="L27" s="493" t="s">
        <v>678</v>
      </c>
      <c r="M27" s="601">
        <f>'R.GUI MAIL'!AL28</f>
        <v>11</v>
      </c>
      <c r="N27" s="492" t="s">
        <v>601</v>
      </c>
      <c r="O27" s="493">
        <f>'R.GUI MAIL'!AO28</f>
        <v>0</v>
      </c>
      <c r="P27" s="209" t="s">
        <v>678</v>
      </c>
      <c r="Q27" s="270" t="s">
        <v>690</v>
      </c>
    </row>
    <row r="28" spans="1:17" s="536" customFormat="1" ht="30.75" customHeight="1">
      <c r="A28" s="529">
        <v>5</v>
      </c>
      <c r="B28" s="3696"/>
      <c r="C28" s="3697"/>
      <c r="D28" s="486" t="s">
        <v>611</v>
      </c>
      <c r="E28" s="602">
        <f>'R.GUI MAIL'!Z29</f>
        <v>0.14000000000000001</v>
      </c>
      <c r="F28" s="492" t="s">
        <v>601</v>
      </c>
      <c r="G28" s="493">
        <f>'R.GUI MAIL'!AC29</f>
        <v>0</v>
      </c>
      <c r="H28" s="64" t="s">
        <v>678</v>
      </c>
      <c r="I28" s="602">
        <f>'R.GUI MAIL'!AF29</f>
        <v>0.2</v>
      </c>
      <c r="J28" s="492" t="s">
        <v>601</v>
      </c>
      <c r="K28" s="493">
        <f>'R.GUI MAIL'!AI29</f>
        <v>0</v>
      </c>
      <c r="L28" s="493" t="s">
        <v>678</v>
      </c>
      <c r="M28" s="602">
        <f>'R.GUI MAIL'!AL29</f>
        <v>0.18</v>
      </c>
      <c r="N28" s="492" t="s">
        <v>601</v>
      </c>
      <c r="O28" s="493">
        <f>'R.GUI MAIL'!AO29</f>
        <v>0</v>
      </c>
      <c r="P28" s="64" t="s">
        <v>678</v>
      </c>
      <c r="Q28" s="538"/>
    </row>
    <row r="29" spans="1:17" s="541" customFormat="1" ht="30.75" customHeight="1">
      <c r="A29" s="529">
        <v>6</v>
      </c>
      <c r="B29" s="3694" t="s">
        <v>661</v>
      </c>
      <c r="C29" s="531" t="s">
        <v>429</v>
      </c>
      <c r="D29" s="486" t="s">
        <v>439</v>
      </c>
      <c r="E29" s="601">
        <f>'R.GUI MAIL'!Z30</f>
        <v>0.95</v>
      </c>
      <c r="F29" s="547" t="s">
        <v>601</v>
      </c>
      <c r="G29" s="539">
        <f>'R.GUI MAIL'!AC30</f>
        <v>6.1700000000000053E-2</v>
      </c>
      <c r="H29" s="532" t="s">
        <v>678</v>
      </c>
      <c r="I29" s="601">
        <f>'R.GUI MAIL'!AF30</f>
        <v>0.95</v>
      </c>
      <c r="J29" s="547" t="s">
        <v>601</v>
      </c>
      <c r="K29" s="539">
        <f>'R.GUI MAIL'!AI30</f>
        <v>6.1700000000000053E-2</v>
      </c>
      <c r="L29" s="539" t="s">
        <v>678</v>
      </c>
      <c r="M29" s="601">
        <f>'R.GUI MAIL'!AL30</f>
        <v>0.95</v>
      </c>
      <c r="N29" s="547" t="s">
        <v>601</v>
      </c>
      <c r="O29" s="539">
        <f>'R.GUI MAIL'!AO30</f>
        <v>6.1700000000000053E-2</v>
      </c>
      <c r="P29" s="532" t="s">
        <v>678</v>
      </c>
      <c r="Q29" s="540" t="s">
        <v>662</v>
      </c>
    </row>
    <row r="30" spans="1:17" s="541" customFormat="1" ht="30.75" customHeight="1">
      <c r="A30" s="529">
        <v>7</v>
      </c>
      <c r="B30" s="3696"/>
      <c r="C30" s="542" t="s">
        <v>683</v>
      </c>
      <c r="D30" s="983" t="s">
        <v>964</v>
      </c>
      <c r="E30" s="601">
        <f>'R.GUI MAIL'!Z31</f>
        <v>10</v>
      </c>
      <c r="F30" s="492" t="s">
        <v>601</v>
      </c>
      <c r="G30" s="493">
        <f>'R.GUI MAIL'!AC31</f>
        <v>0</v>
      </c>
      <c r="H30" s="209" t="s">
        <v>678</v>
      </c>
      <c r="I30" s="601">
        <f>'R.GUI MAIL'!AF31</f>
        <v>10</v>
      </c>
      <c r="J30" s="492" t="s">
        <v>601</v>
      </c>
      <c r="K30" s="493">
        <f>'R.GUI MAIL'!AI31</f>
        <v>0</v>
      </c>
      <c r="L30" s="493" t="s">
        <v>678</v>
      </c>
      <c r="M30" s="601">
        <f>'R.GUI MAIL'!AL31</f>
        <v>10</v>
      </c>
      <c r="N30" s="492" t="s">
        <v>601</v>
      </c>
      <c r="O30" s="493">
        <f>'R.GUI MAIL'!AO31</f>
        <v>0</v>
      </c>
      <c r="P30" s="209" t="s">
        <v>678</v>
      </c>
      <c r="Q30" s="209"/>
    </row>
    <row r="31" spans="1:17" s="536" customFormat="1" ht="25.5" customHeight="1">
      <c r="A31" s="3698" t="s">
        <v>664</v>
      </c>
      <c r="B31" s="3698"/>
      <c r="C31" s="3698"/>
      <c r="D31" s="3698"/>
      <c r="E31" s="3698"/>
      <c r="F31" s="3698"/>
      <c r="G31" s="3698"/>
      <c r="H31" s="3698"/>
      <c r="I31" s="3698"/>
      <c r="J31" s="3698"/>
      <c r="K31" s="3698"/>
      <c r="L31" s="3698"/>
      <c r="M31" s="3698"/>
      <c r="N31" s="3698"/>
      <c r="O31" s="3698"/>
      <c r="P31" s="3698"/>
      <c r="Q31" s="3698"/>
    </row>
    <row r="32" spans="1:17" s="536" customFormat="1" ht="38.25" customHeight="1">
      <c r="A32" s="209" t="s">
        <v>684</v>
      </c>
      <c r="B32" s="543" t="s">
        <v>666</v>
      </c>
      <c r="C32" s="543" t="s">
        <v>667</v>
      </c>
      <c r="D32" s="543" t="s">
        <v>668</v>
      </c>
      <c r="E32" s="3658" t="s">
        <v>45</v>
      </c>
      <c r="F32" s="3658"/>
      <c r="G32" s="3658" t="s">
        <v>61</v>
      </c>
      <c r="H32" s="3658"/>
      <c r="I32" s="3658" t="s">
        <v>45</v>
      </c>
      <c r="J32" s="3658"/>
      <c r="K32" s="3658" t="s">
        <v>61</v>
      </c>
      <c r="L32" s="3658"/>
      <c r="M32" s="3658" t="s">
        <v>45</v>
      </c>
      <c r="N32" s="3658"/>
      <c r="O32" s="3658" t="s">
        <v>61</v>
      </c>
      <c r="P32" s="3658"/>
      <c r="Q32" s="324"/>
    </row>
    <row r="33" spans="1:17" s="536" customFormat="1" ht="30" customHeight="1">
      <c r="A33" s="209">
        <v>1</v>
      </c>
      <c r="B33" s="543" t="s">
        <v>669</v>
      </c>
      <c r="C33" s="544" t="s">
        <v>670</v>
      </c>
      <c r="D33" s="486" t="s">
        <v>671</v>
      </c>
      <c r="E33" s="3797">
        <f>'R.GUI MAIL'!Z34</f>
        <v>0</v>
      </c>
      <c r="F33" s="3798"/>
      <c r="G33" s="3193">
        <f>'R.FILE GOC'!AC34</f>
        <v>60</v>
      </c>
      <c r="H33" s="3194"/>
      <c r="I33" s="3797">
        <f>'R.GUI MAIL'!AF34</f>
        <v>0</v>
      </c>
      <c r="J33" s="3798"/>
      <c r="K33" s="3193">
        <f>'R.FILE GOC'!AI34</f>
        <v>59</v>
      </c>
      <c r="L33" s="3194"/>
      <c r="M33" s="3797">
        <f>'R.GUI MAIL'!AL34</f>
        <v>0</v>
      </c>
      <c r="N33" s="3798"/>
      <c r="O33" s="3183">
        <f>'R.FILE GOC'!AO34</f>
        <v>59</v>
      </c>
      <c r="P33" s="3183"/>
      <c r="Q33" s="493"/>
    </row>
    <row r="34" spans="1:17" s="536" customFormat="1" ht="30" customHeight="1">
      <c r="A34" s="209">
        <v>2</v>
      </c>
      <c r="B34" s="543" t="s">
        <v>685</v>
      </c>
      <c r="C34" s="544" t="s">
        <v>670</v>
      </c>
      <c r="D34" s="486" t="s">
        <v>673</v>
      </c>
      <c r="E34" s="3193">
        <f>'R.GUI MAIL'!Z35</f>
        <v>0</v>
      </c>
      <c r="F34" s="3194"/>
      <c r="G34" s="3193">
        <f>'R.FILE GOC'!AC35</f>
        <v>66</v>
      </c>
      <c r="H34" s="3194"/>
      <c r="I34" s="3193">
        <f>'R.GUI MAIL'!AF35</f>
        <v>0</v>
      </c>
      <c r="J34" s="3194"/>
      <c r="K34" s="3193">
        <f>'R.FILE GOC'!AI35</f>
        <v>67</v>
      </c>
      <c r="L34" s="3194"/>
      <c r="M34" s="3193">
        <f>'R.GUI MAIL'!AL35</f>
        <v>0</v>
      </c>
      <c r="N34" s="3194"/>
      <c r="O34" s="3183">
        <f>'R.FILE GOC'!AO35</f>
        <v>60</v>
      </c>
      <c r="P34" s="3183"/>
      <c r="Q34" s="493"/>
    </row>
    <row r="35" spans="1:17" s="536" customFormat="1" ht="30" customHeight="1">
      <c r="A35" s="209">
        <v>3</v>
      </c>
      <c r="B35" s="543" t="s">
        <v>674</v>
      </c>
      <c r="C35" s="544" t="s">
        <v>670</v>
      </c>
      <c r="D35" s="486" t="s">
        <v>675</v>
      </c>
      <c r="E35" s="3797">
        <f>'R.GUI MAIL'!Z36</f>
        <v>0</v>
      </c>
      <c r="F35" s="3798"/>
      <c r="G35" s="3193">
        <f>'R.FILE GOC'!AC36</f>
        <v>81</v>
      </c>
      <c r="H35" s="3194"/>
      <c r="I35" s="3797">
        <f>'R.GUI MAIL'!AF36</f>
        <v>0</v>
      </c>
      <c r="J35" s="3798"/>
      <c r="K35" s="3193">
        <f>'R.FILE GOC'!AI36</f>
        <v>84</v>
      </c>
      <c r="L35" s="3194"/>
      <c r="M35" s="3797">
        <f>'R.GUI MAIL'!AL36</f>
        <v>0</v>
      </c>
      <c r="N35" s="3798"/>
      <c r="O35" s="3183">
        <f>'R.FILE GOC'!AO36</f>
        <v>84</v>
      </c>
      <c r="P35" s="3183"/>
      <c r="Q35" s="493"/>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7" type="noConversion"/>
  <conditionalFormatting sqref="E8 I8 M8 M25 I25 E25">
    <cfRule type="expression" dxfId="594" priority="111">
      <formula>E8&lt;10</formula>
    </cfRule>
    <cfRule type="expression" dxfId="593" priority="112">
      <formula>E8&gt;15</formula>
    </cfRule>
  </conditionalFormatting>
  <conditionalFormatting sqref="E7 I7 M7 M24 I24 E24">
    <cfRule type="expression" dxfId="592" priority="109">
      <formula>E7&lt;30</formula>
    </cfRule>
    <cfRule type="expression" dxfId="591" priority="110">
      <formula>E7&gt;50</formula>
    </cfRule>
  </conditionalFormatting>
  <conditionalFormatting sqref="E9 I9 M9 M26 I26 E26">
    <cfRule type="expression" dxfId="590" priority="107">
      <formula>E9&lt;40</formula>
    </cfRule>
    <cfRule type="expression" dxfId="589" priority="108">
      <formula>E9&gt;60</formula>
    </cfRule>
  </conditionalFormatting>
  <conditionalFormatting sqref="E10 I10 M10 M27 I27 E27">
    <cfRule type="expression" dxfId="588" priority="105">
      <formula>E10&lt;5.2</formula>
    </cfRule>
    <cfRule type="expression" dxfId="587" priority="106">
      <formula>E10&gt;7.8</formula>
    </cfRule>
  </conditionalFormatting>
  <conditionalFormatting sqref="E11 I11 M11 M28 I28 E28">
    <cfRule type="expression" dxfId="586" priority="104">
      <formula>E11&gt;0.4</formula>
    </cfRule>
  </conditionalFormatting>
  <conditionalFormatting sqref="E12 I12 M12 M29 I29 E29">
    <cfRule type="expression" dxfId="585" priority="102">
      <formula>E12&lt;0.8</formula>
    </cfRule>
    <cfRule type="expression" dxfId="584" priority="103">
      <formula>E12&gt;1.2</formula>
    </cfRule>
  </conditionalFormatting>
  <conditionalFormatting sqref="I13 M30 I30 E30">
    <cfRule type="expression" dxfId="583" priority="100">
      <formula>E13&lt;8</formula>
    </cfRule>
    <cfRule type="expression" dxfId="582" priority="101">
      <formula>E13&gt;10</formula>
    </cfRule>
  </conditionalFormatting>
  <conditionalFormatting sqref="E34:F34 E17:P17">
    <cfRule type="expression" dxfId="581" priority="23">
      <formula>E17&lt;65</formula>
    </cfRule>
    <cfRule type="expression" dxfId="580" priority="24">
      <formula>E17&gt;85</formula>
    </cfRule>
  </conditionalFormatting>
  <conditionalFormatting sqref="E35:F35 E18:P18">
    <cfRule type="expression" dxfId="579" priority="21">
      <formula>E18&lt;80</formula>
    </cfRule>
    <cfRule type="expression" dxfId="578" priority="22">
      <formula>E18&gt;90</formula>
    </cfRule>
  </conditionalFormatting>
  <conditionalFormatting sqref="E33 E16 G16 I16 K16 M16 O16">
    <cfRule type="expression" dxfId="577" priority="19">
      <formula>E16&lt;55</formula>
    </cfRule>
    <cfRule type="expression" dxfId="576" priority="20">
      <formula>E16&gt;65</formula>
    </cfRule>
  </conditionalFormatting>
  <conditionalFormatting sqref="G34:P34">
    <cfRule type="expression" dxfId="575" priority="17">
      <formula>G34&lt;65</formula>
    </cfRule>
    <cfRule type="expression" dxfId="574" priority="18">
      <formula>G34&gt;85</formula>
    </cfRule>
  </conditionalFormatting>
  <conditionalFormatting sqref="G35:P35">
    <cfRule type="expression" dxfId="573" priority="15">
      <formula>G35&lt;80</formula>
    </cfRule>
    <cfRule type="expression" dxfId="572" priority="16">
      <formula>G35&gt;90</formula>
    </cfRule>
  </conditionalFormatting>
  <conditionalFormatting sqref="G33 I33 K33 M33 O33">
    <cfRule type="expression" dxfId="571" priority="13">
      <formula>G33&lt;55</formula>
    </cfRule>
    <cfRule type="expression" dxfId="570"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473" customWidth="1"/>
    <col min="2" max="2" width="20.875" style="523" customWidth="1"/>
    <col min="3" max="3" width="4.125" style="523" customWidth="1"/>
    <col min="4" max="4" width="6.875" style="473" customWidth="1"/>
    <col min="5" max="5" width="16.875" style="473" customWidth="1"/>
    <col min="6" max="6" width="8.5" style="473" customWidth="1"/>
    <col min="7" max="7" width="3.875" style="473" customWidth="1"/>
    <col min="8" max="8" width="7.25" style="473" customWidth="1"/>
    <col min="9" max="9" width="4.375" style="473" customWidth="1"/>
    <col min="10" max="10" width="8.75" style="473" customWidth="1"/>
    <col min="11" max="11" width="2.625" style="473" customWidth="1"/>
    <col min="12" max="12" width="7.375" style="473" customWidth="1"/>
    <col min="13" max="13" width="4.25" style="473" customWidth="1"/>
    <col min="14" max="14" width="8.75" style="473" customWidth="1"/>
    <col min="15" max="15" width="2.625" style="473" customWidth="1"/>
    <col min="16" max="16" width="7.375" style="473" customWidth="1"/>
    <col min="17" max="17" width="4.25" style="473" customWidth="1"/>
    <col min="18" max="18" width="16.125" style="473" customWidth="1"/>
    <col min="19" max="16384" width="9" style="473"/>
  </cols>
  <sheetData>
    <row r="1" spans="1:18" ht="27.75" customHeight="1">
      <c r="A1" s="3635" t="s">
        <v>585</v>
      </c>
      <c r="B1" s="3635"/>
      <c r="C1" s="3635"/>
      <c r="D1" s="3635"/>
      <c r="E1" s="3635"/>
      <c r="F1" s="3635"/>
      <c r="G1" s="3635"/>
      <c r="H1" s="3635"/>
      <c r="I1" s="3635"/>
      <c r="J1" s="3635"/>
      <c r="K1" s="3635"/>
      <c r="L1" s="3635"/>
      <c r="M1" s="3635"/>
      <c r="N1" s="471"/>
      <c r="O1" s="471"/>
      <c r="P1" s="471"/>
      <c r="Q1" s="471"/>
      <c r="R1" s="471"/>
    </row>
    <row r="2" spans="1:18" ht="36.75" customHeight="1">
      <c r="A2" s="3636" t="s">
        <v>917</v>
      </c>
      <c r="B2" s="3636"/>
      <c r="C2" s="3636"/>
      <c r="D2" s="3636"/>
      <c r="E2" s="3636"/>
      <c r="F2" s="3636"/>
      <c r="G2" s="3636"/>
      <c r="H2" s="3636"/>
      <c r="I2" s="3636"/>
      <c r="J2" s="3636"/>
      <c r="K2" s="3636"/>
      <c r="L2" s="3636"/>
      <c r="M2" s="3636"/>
      <c r="N2" s="474"/>
      <c r="O2" s="474"/>
      <c r="P2" s="3292" t="s">
        <v>638</v>
      </c>
      <c r="Q2" s="3294"/>
      <c r="R2" s="74" t="s">
        <v>17</v>
      </c>
    </row>
    <row r="3" spans="1:18" ht="20.25" customHeight="1">
      <c r="A3" s="475"/>
      <c r="B3" s="476" t="s">
        <v>588</v>
      </c>
      <c r="C3" s="476"/>
      <c r="D3" s="1991" t="str">
        <f>MENU!$AC$9</f>
        <v>Thứ 5,</v>
      </c>
      <c r="E3" s="1815" t="str">
        <f>MENU!$AD$9</f>
        <v>2024/08/01</v>
      </c>
      <c r="F3" s="477"/>
      <c r="G3" s="477"/>
      <c r="H3" s="477"/>
      <c r="I3" s="477"/>
      <c r="J3" s="3691"/>
      <c r="K3" s="3691"/>
      <c r="L3" s="3691"/>
      <c r="M3" s="525"/>
      <c r="N3" s="476"/>
      <c r="O3" s="476"/>
      <c r="P3" s="3641" t="str">
        <f>'1.xi den'!$R$3</f>
        <v>L.Yen</v>
      </c>
      <c r="Q3" s="3642"/>
      <c r="R3" s="526" t="s">
        <v>639</v>
      </c>
    </row>
    <row r="4" spans="1:18" s="527" customFormat="1" ht="42" customHeight="1">
      <c r="A4" s="3684" t="s">
        <v>677</v>
      </c>
      <c r="B4" s="3450" t="s">
        <v>641</v>
      </c>
      <c r="C4" s="3786"/>
      <c r="D4" s="3687" t="s">
        <v>642</v>
      </c>
      <c r="E4" s="3689" t="s">
        <v>643</v>
      </c>
      <c r="F4" s="3661" t="s">
        <v>859</v>
      </c>
      <c r="G4" s="3662"/>
      <c r="H4" s="3662"/>
      <c r="I4" s="3662"/>
      <c r="J4" s="3662"/>
      <c r="K4" s="3662"/>
      <c r="L4" s="3662"/>
      <c r="M4" s="3662"/>
      <c r="N4" s="3662"/>
      <c r="O4" s="3662"/>
      <c r="P4" s="3662"/>
      <c r="Q4" s="3663"/>
      <c r="R4" s="3216" t="s">
        <v>644</v>
      </c>
    </row>
    <row r="5" spans="1:18" s="527" customFormat="1" ht="22.5" customHeight="1">
      <c r="A5" s="3685"/>
      <c r="B5" s="3506"/>
      <c r="C5" s="3787"/>
      <c r="D5" s="3687"/>
      <c r="E5" s="3689"/>
      <c r="F5" s="3646">
        <v>0.375</v>
      </c>
      <c r="G5" s="3647"/>
      <c r="H5" s="3647"/>
      <c r="I5" s="3647"/>
      <c r="J5" s="3648">
        <v>0.5625</v>
      </c>
      <c r="K5" s="3649"/>
      <c r="L5" s="3649"/>
      <c r="M5" s="3650"/>
      <c r="N5" s="3648">
        <v>0.72916666666666663</v>
      </c>
      <c r="O5" s="3649"/>
      <c r="P5" s="3649"/>
      <c r="Q5" s="3650"/>
      <c r="R5" s="3217"/>
    </row>
    <row r="6" spans="1:18" s="527" customFormat="1" ht="39.75" customHeight="1">
      <c r="A6" s="3686"/>
      <c r="B6" s="3788"/>
      <c r="C6" s="3789"/>
      <c r="D6" s="3688"/>
      <c r="E6" s="3690"/>
      <c r="F6" s="528" t="s">
        <v>645</v>
      </c>
      <c r="G6" s="3507" t="s">
        <v>646</v>
      </c>
      <c r="H6" s="3512"/>
      <c r="I6" s="3693"/>
      <c r="J6" s="528" t="s">
        <v>645</v>
      </c>
      <c r="K6" s="3507" t="s">
        <v>646</v>
      </c>
      <c r="L6" s="3512"/>
      <c r="M6" s="3693"/>
      <c r="N6" s="528" t="s">
        <v>645</v>
      </c>
      <c r="O6" s="3507" t="s">
        <v>646</v>
      </c>
      <c r="P6" s="3512"/>
      <c r="Q6" s="3693"/>
      <c r="R6" s="540" t="s">
        <v>686</v>
      </c>
    </row>
    <row r="7" spans="1:18" s="536" customFormat="1" ht="27" customHeight="1">
      <c r="A7" s="529">
        <v>1</v>
      </c>
      <c r="B7" s="3799" t="s">
        <v>856</v>
      </c>
      <c r="C7" s="3800"/>
      <c r="D7" s="834" t="s">
        <v>649</v>
      </c>
      <c r="E7" s="838" t="s">
        <v>448</v>
      </c>
      <c r="F7" s="601">
        <f>'R.GUI MAIL'!H41</f>
        <v>0</v>
      </c>
      <c r="G7" s="492" t="s">
        <v>601</v>
      </c>
      <c r="H7" s="493">
        <f>'R.GUI MAIL'!K41</f>
        <v>0</v>
      </c>
      <c r="I7" s="836" t="s">
        <v>607</v>
      </c>
      <c r="J7" s="601">
        <f>'R.GUI MAIL'!N41</f>
        <v>0</v>
      </c>
      <c r="K7" s="492" t="s">
        <v>601</v>
      </c>
      <c r="L7" s="493">
        <f>'R.GUI MAIL'!Q41</f>
        <v>0</v>
      </c>
      <c r="M7" s="836" t="s">
        <v>607</v>
      </c>
      <c r="N7" s="601">
        <f>'R.GUI MAIL'!T41</f>
        <v>0</v>
      </c>
      <c r="O7" s="492" t="s">
        <v>601</v>
      </c>
      <c r="P7" s="493">
        <f>'R.GUI MAIL'!W41</f>
        <v>0</v>
      </c>
      <c r="Q7" s="836" t="s">
        <v>607</v>
      </c>
      <c r="R7" s="540" t="s">
        <v>687</v>
      </c>
    </row>
    <row r="8" spans="1:18" s="536" customFormat="1" ht="27" customHeight="1">
      <c r="A8" s="529">
        <v>2</v>
      </c>
      <c r="B8" s="3627" t="s">
        <v>653</v>
      </c>
      <c r="C8" s="3629"/>
      <c r="D8" s="534" t="s">
        <v>654</v>
      </c>
      <c r="E8" s="837" t="s">
        <v>424</v>
      </c>
      <c r="F8" s="839">
        <f>'R.GUI MAIL'!H42</f>
        <v>0</v>
      </c>
      <c r="G8" s="492" t="s">
        <v>601</v>
      </c>
      <c r="H8" s="493">
        <f>'R.GUI MAIL'!K42</f>
        <v>0</v>
      </c>
      <c r="I8" s="209" t="s">
        <v>680</v>
      </c>
      <c r="J8" s="839">
        <f>'R.GUI MAIL'!N42</f>
        <v>0</v>
      </c>
      <c r="K8" s="492" t="s">
        <v>601</v>
      </c>
      <c r="L8" s="493">
        <f>'R.GUI MAIL'!Q42</f>
        <v>0</v>
      </c>
      <c r="M8" s="209" t="s">
        <v>680</v>
      </c>
      <c r="N8" s="839">
        <f>'R.GUI MAIL'!T42</f>
        <v>0</v>
      </c>
      <c r="O8" s="492" t="s">
        <v>601</v>
      </c>
      <c r="P8" s="493">
        <f>'R.GUI MAIL'!W42</f>
        <v>0</v>
      </c>
      <c r="Q8" s="209" t="s">
        <v>680</v>
      </c>
      <c r="R8" s="540" t="s">
        <v>689</v>
      </c>
    </row>
    <row r="9" spans="1:18" s="536" customFormat="1" ht="27" customHeight="1">
      <c r="A9" s="529">
        <v>4</v>
      </c>
      <c r="B9" s="3790" t="s">
        <v>685</v>
      </c>
      <c r="C9" s="3793">
        <f>R.HN!B27</f>
        <v>0</v>
      </c>
      <c r="D9" s="3697" t="s">
        <v>429</v>
      </c>
      <c r="E9" s="486" t="s">
        <v>727</v>
      </c>
      <c r="F9" s="601">
        <f>'R.GUI MAIL'!H43</f>
        <v>0</v>
      </c>
      <c r="G9" s="492" t="s">
        <v>601</v>
      </c>
      <c r="H9" s="493">
        <f>'R.GUI MAIL'!K43</f>
        <v>0</v>
      </c>
      <c r="I9" s="209" t="s">
        <v>678</v>
      </c>
      <c r="J9" s="601">
        <f>'R.GUI MAIL'!N43</f>
        <v>0</v>
      </c>
      <c r="K9" s="492" t="s">
        <v>601</v>
      </c>
      <c r="L9" s="539">
        <f>'R.GUI MAIL'!Q43</f>
        <v>0</v>
      </c>
      <c r="M9" s="209" t="s">
        <v>678</v>
      </c>
      <c r="N9" s="601">
        <f>'R.GUI MAIL'!T43</f>
        <v>0</v>
      </c>
      <c r="O9" s="492" t="s">
        <v>601</v>
      </c>
      <c r="P9" s="539">
        <f>'R.GUI MAIL'!W43</f>
        <v>0</v>
      </c>
      <c r="Q9" s="209" t="s">
        <v>678</v>
      </c>
      <c r="R9" s="540" t="s">
        <v>689</v>
      </c>
    </row>
    <row r="10" spans="1:18" s="536" customFormat="1" ht="28.5" customHeight="1">
      <c r="A10" s="529">
        <v>5</v>
      </c>
      <c r="B10" s="3791"/>
      <c r="C10" s="3794"/>
      <c r="D10" s="3697"/>
      <c r="E10" s="486" t="s">
        <v>723</v>
      </c>
      <c r="F10" s="601">
        <f>'R.GUI MAIL'!H44</f>
        <v>0</v>
      </c>
      <c r="G10" s="492" t="s">
        <v>601</v>
      </c>
      <c r="H10" s="493">
        <f>'R.GUI MAIL'!K44</f>
        <v>0</v>
      </c>
      <c r="I10" s="209" t="s">
        <v>678</v>
      </c>
      <c r="J10" s="601">
        <f>'R.GUI MAIL'!N44</f>
        <v>0</v>
      </c>
      <c r="K10" s="492" t="s">
        <v>601</v>
      </c>
      <c r="L10" s="539">
        <f>'R.GUI MAIL'!Q44</f>
        <v>0</v>
      </c>
      <c r="M10" s="209" t="s">
        <v>678</v>
      </c>
      <c r="N10" s="601">
        <f>'R.GUI MAIL'!T44</f>
        <v>0</v>
      </c>
      <c r="O10" s="492" t="s">
        <v>601</v>
      </c>
      <c r="P10" s="539">
        <f>'R.GUI MAIL'!W44</f>
        <v>0</v>
      </c>
      <c r="Q10" s="209" t="s">
        <v>678</v>
      </c>
      <c r="R10" s="540" t="s">
        <v>690</v>
      </c>
    </row>
    <row r="11" spans="1:18" s="536" customFormat="1" ht="28.5" customHeight="1">
      <c r="A11" s="529">
        <v>6</v>
      </c>
      <c r="B11" s="3792"/>
      <c r="C11" s="3795"/>
      <c r="D11" s="3697"/>
      <c r="E11" s="486" t="s">
        <v>611</v>
      </c>
      <c r="F11" s="602">
        <f>'R.GUI MAIL'!H45</f>
        <v>0</v>
      </c>
      <c r="G11" s="492" t="s">
        <v>601</v>
      </c>
      <c r="H11" s="493">
        <f>'R.GUI MAIL'!K45</f>
        <v>0</v>
      </c>
      <c r="I11" s="64" t="s">
        <v>678</v>
      </c>
      <c r="J11" s="602">
        <f>'R.GUI MAIL'!N45</f>
        <v>0</v>
      </c>
      <c r="K11" s="492" t="s">
        <v>601</v>
      </c>
      <c r="L11" s="539">
        <f>'R.GUI MAIL'!Q45</f>
        <v>0</v>
      </c>
      <c r="M11" s="64" t="s">
        <v>678</v>
      </c>
      <c r="N11" s="602">
        <f>'R.GUI MAIL'!T45</f>
        <v>0</v>
      </c>
      <c r="O11" s="492" t="s">
        <v>601</v>
      </c>
      <c r="P11" s="539">
        <f>'R.GUI MAIL'!W45</f>
        <v>0</v>
      </c>
      <c r="Q11" s="64" t="s">
        <v>678</v>
      </c>
      <c r="R11" s="540"/>
    </row>
    <row r="12" spans="1:18" s="536" customFormat="1" ht="28.5" hidden="1" customHeight="1">
      <c r="A12" s="529">
        <v>7</v>
      </c>
      <c r="B12" s="3790" t="s">
        <v>685</v>
      </c>
      <c r="C12" s="3793">
        <f>R.HN!B30</f>
        <v>0</v>
      </c>
      <c r="D12" s="3697" t="s">
        <v>429</v>
      </c>
      <c r="E12" s="486" t="s">
        <v>727</v>
      </c>
      <c r="F12" s="601" t="e">
        <f>'R.GUI MAIL'!#REF!</f>
        <v>#REF!</v>
      </c>
      <c r="G12" s="492" t="s">
        <v>601</v>
      </c>
      <c r="H12" s="493" t="e">
        <f>'R.GUI MAIL'!#REF!</f>
        <v>#REF!</v>
      </c>
      <c r="I12" s="209" t="s">
        <v>678</v>
      </c>
      <c r="J12" s="601" t="e">
        <f>'R.GUI MAIL'!#REF!</f>
        <v>#REF!</v>
      </c>
      <c r="K12" s="492" t="s">
        <v>601</v>
      </c>
      <c r="L12" s="539" t="e">
        <f>'R.GUI MAIL'!#REF!</f>
        <v>#REF!</v>
      </c>
      <c r="M12" s="209" t="s">
        <v>678</v>
      </c>
      <c r="N12" s="601" t="e">
        <f>'R.GUI MAIL'!#REF!</f>
        <v>#REF!</v>
      </c>
      <c r="O12" s="492" t="s">
        <v>601</v>
      </c>
      <c r="P12" s="539" t="e">
        <f>'R.GUI MAIL'!#REF!</f>
        <v>#REF!</v>
      </c>
      <c r="Q12" s="209" t="s">
        <v>678</v>
      </c>
      <c r="R12" s="540" t="s">
        <v>689</v>
      </c>
    </row>
    <row r="13" spans="1:18" s="536" customFormat="1" ht="28.5" hidden="1" customHeight="1">
      <c r="A13" s="529">
        <v>8</v>
      </c>
      <c r="B13" s="3791"/>
      <c r="C13" s="3794"/>
      <c r="D13" s="3697"/>
      <c r="E13" s="486" t="s">
        <v>723</v>
      </c>
      <c r="F13" s="601" t="e">
        <f>'R.GUI MAIL'!#REF!</f>
        <v>#REF!</v>
      </c>
      <c r="G13" s="492" t="s">
        <v>601</v>
      </c>
      <c r="H13" s="493" t="e">
        <f>'R.GUI MAIL'!#REF!</f>
        <v>#REF!</v>
      </c>
      <c r="I13" s="209" t="s">
        <v>678</v>
      </c>
      <c r="J13" s="601" t="e">
        <f>'R.GUI MAIL'!#REF!</f>
        <v>#REF!</v>
      </c>
      <c r="K13" s="492" t="s">
        <v>601</v>
      </c>
      <c r="L13" s="539" t="e">
        <f>'R.GUI MAIL'!#REF!</f>
        <v>#REF!</v>
      </c>
      <c r="M13" s="209" t="s">
        <v>678</v>
      </c>
      <c r="N13" s="601" t="e">
        <f>'R.GUI MAIL'!#REF!</f>
        <v>#REF!</v>
      </c>
      <c r="O13" s="492" t="s">
        <v>601</v>
      </c>
      <c r="P13" s="539" t="e">
        <f>'R.GUI MAIL'!#REF!</f>
        <v>#REF!</v>
      </c>
      <c r="Q13" s="209" t="s">
        <v>678</v>
      </c>
      <c r="R13" s="540" t="s">
        <v>690</v>
      </c>
    </row>
    <row r="14" spans="1:18" s="536" customFormat="1" ht="28.5" hidden="1" customHeight="1">
      <c r="A14" s="529">
        <v>9</v>
      </c>
      <c r="B14" s="3792"/>
      <c r="C14" s="3795"/>
      <c r="D14" s="3697"/>
      <c r="E14" s="486" t="s">
        <v>611</v>
      </c>
      <c r="F14" s="602" t="e">
        <f>'R.GUI MAIL'!#REF!</f>
        <v>#REF!</v>
      </c>
      <c r="G14" s="492" t="s">
        <v>601</v>
      </c>
      <c r="H14" s="493" t="e">
        <f>'R.GUI MAIL'!#REF!</f>
        <v>#REF!</v>
      </c>
      <c r="I14" s="64" t="s">
        <v>678</v>
      </c>
      <c r="J14" s="602" t="e">
        <f>'R.GUI MAIL'!#REF!</f>
        <v>#REF!</v>
      </c>
      <c r="K14" s="492" t="s">
        <v>601</v>
      </c>
      <c r="L14" s="539" t="e">
        <f>'R.GUI MAIL'!#REF!</f>
        <v>#REF!</v>
      </c>
      <c r="M14" s="64" t="s">
        <v>678</v>
      </c>
      <c r="N14" s="602" t="e">
        <f>'R.GUI MAIL'!#REF!</f>
        <v>#REF!</v>
      </c>
      <c r="O14" s="492" t="s">
        <v>601</v>
      </c>
      <c r="P14" s="539" t="e">
        <f>'R.GUI MAIL'!#REF!</f>
        <v>#REF!</v>
      </c>
      <c r="Q14" s="64" t="s">
        <v>678</v>
      </c>
      <c r="R14" s="540"/>
    </row>
    <row r="15" spans="1:18" s="541" customFormat="1" ht="28.5" customHeight="1">
      <c r="A15" s="529">
        <v>16</v>
      </c>
      <c r="B15" s="3790" t="s">
        <v>661</v>
      </c>
      <c r="C15" s="3793"/>
      <c r="D15" s="531" t="s">
        <v>429</v>
      </c>
      <c r="E15" s="486" t="s">
        <v>439</v>
      </c>
      <c r="F15" s="601">
        <f>'R.GUI MAIL'!H46</f>
        <v>0</v>
      </c>
      <c r="G15" s="547" t="s">
        <v>601</v>
      </c>
      <c r="H15" s="539">
        <f>'R.GUI MAIL'!K46</f>
        <v>0</v>
      </c>
      <c r="I15" s="532" t="s">
        <v>678</v>
      </c>
      <c r="J15" s="601">
        <f>'R.GUI MAIL'!N46</f>
        <v>0</v>
      </c>
      <c r="K15" s="547" t="s">
        <v>601</v>
      </c>
      <c r="L15" s="539">
        <f>'R.GUI MAIL'!Q46</f>
        <v>0</v>
      </c>
      <c r="M15" s="532" t="s">
        <v>678</v>
      </c>
      <c r="N15" s="601">
        <f>'R.GUI MAIL'!T46</f>
        <v>0</v>
      </c>
      <c r="O15" s="547" t="s">
        <v>601</v>
      </c>
      <c r="P15" s="539">
        <f>'R.GUI MAIL'!W46</f>
        <v>0</v>
      </c>
      <c r="Q15" s="532" t="s">
        <v>678</v>
      </c>
      <c r="R15" s="540" t="s">
        <v>662</v>
      </c>
    </row>
    <row r="16" spans="1:18" s="541" customFormat="1" ht="28.5" customHeight="1">
      <c r="A16" s="529">
        <v>17</v>
      </c>
      <c r="B16" s="3792"/>
      <c r="C16" s="3795"/>
      <c r="D16" s="542" t="s">
        <v>683</v>
      </c>
      <c r="E16" s="983" t="s">
        <v>964</v>
      </c>
      <c r="F16" s="601">
        <f>'R.GUI MAIL'!H47</f>
        <v>0</v>
      </c>
      <c r="G16" s="492" t="s">
        <v>601</v>
      </c>
      <c r="H16" s="493">
        <f>'R.GUI MAIL'!K47</f>
        <v>0</v>
      </c>
      <c r="I16" s="209" t="s">
        <v>678</v>
      </c>
      <c r="J16" s="601">
        <f>'R.GUI MAIL'!N47</f>
        <v>0</v>
      </c>
      <c r="K16" s="492" t="s">
        <v>601</v>
      </c>
      <c r="L16" s="539">
        <f>'R.GUI MAIL'!Q47</f>
        <v>0</v>
      </c>
      <c r="M16" s="209" t="s">
        <v>678</v>
      </c>
      <c r="N16" s="601">
        <f>'R.GUI MAIL'!T47</f>
        <v>0</v>
      </c>
      <c r="O16" s="492" t="s">
        <v>601</v>
      </c>
      <c r="P16" s="539">
        <f>'R.GUI MAIL'!W47</f>
        <v>0</v>
      </c>
      <c r="Q16" s="209" t="s">
        <v>678</v>
      </c>
      <c r="R16" s="209"/>
    </row>
    <row r="17" spans="1:18" s="536" customFormat="1" ht="28.5" customHeight="1">
      <c r="A17" s="3698" t="s">
        <v>664</v>
      </c>
      <c r="B17" s="3698"/>
      <c r="C17" s="3698"/>
      <c r="D17" s="3698"/>
      <c r="E17" s="3698"/>
      <c r="F17" s="3698"/>
      <c r="G17" s="3698"/>
      <c r="H17" s="3698"/>
      <c r="I17" s="3698"/>
      <c r="J17" s="3698"/>
      <c r="K17" s="3698"/>
      <c r="L17" s="3698"/>
      <c r="M17" s="3698"/>
      <c r="N17" s="3698"/>
      <c r="O17" s="3698"/>
      <c r="P17" s="3698"/>
      <c r="Q17" s="3698"/>
      <c r="R17" s="3698"/>
    </row>
    <row r="18" spans="1:18" s="536" customFormat="1" ht="28.5" customHeight="1">
      <c r="A18" s="209" t="s">
        <v>684</v>
      </c>
      <c r="B18" s="3627" t="s">
        <v>666</v>
      </c>
      <c r="C18" s="3629"/>
      <c r="D18" s="543" t="s">
        <v>667</v>
      </c>
      <c r="E18" s="543" t="s">
        <v>668</v>
      </c>
      <c r="F18" s="3658" t="s">
        <v>45</v>
      </c>
      <c r="G18" s="3658"/>
      <c r="H18" s="3658" t="s">
        <v>61</v>
      </c>
      <c r="I18" s="3658"/>
      <c r="J18" s="3658" t="s">
        <v>45</v>
      </c>
      <c r="K18" s="3658"/>
      <c r="L18" s="3658" t="s">
        <v>61</v>
      </c>
      <c r="M18" s="3658"/>
      <c r="N18" s="3658" t="s">
        <v>45</v>
      </c>
      <c r="O18" s="3658"/>
      <c r="P18" s="3658" t="s">
        <v>61</v>
      </c>
      <c r="Q18" s="3658"/>
      <c r="R18" s="550"/>
    </row>
    <row r="19" spans="1:18" s="536" customFormat="1" ht="28.5" customHeight="1">
      <c r="A19" s="209">
        <v>1</v>
      </c>
      <c r="B19" s="3627" t="s">
        <v>863</v>
      </c>
      <c r="C19" s="3629"/>
      <c r="D19" s="544" t="s">
        <v>670</v>
      </c>
      <c r="E19" s="838" t="s">
        <v>671</v>
      </c>
      <c r="F19" s="3797">
        <f>'R.FILE GOC'!H50</f>
        <v>0</v>
      </c>
      <c r="G19" s="3798"/>
      <c r="H19" s="3193">
        <f>'R.FILE GOC'!K50</f>
        <v>0</v>
      </c>
      <c r="I19" s="3194"/>
      <c r="J19" s="3797">
        <f>'R.FILE GOC'!N50</f>
        <v>0</v>
      </c>
      <c r="K19" s="3798"/>
      <c r="L19" s="3193">
        <f>'R.FILE GOC'!Q50</f>
        <v>0</v>
      </c>
      <c r="M19" s="3194"/>
      <c r="N19" s="3797">
        <f>'R.GUI MAIL'!T50</f>
        <v>0</v>
      </c>
      <c r="O19" s="3798"/>
      <c r="P19" s="3183">
        <f>'R.FILE GOC'!W50</f>
        <v>0</v>
      </c>
      <c r="Q19" s="3183"/>
      <c r="R19" s="493"/>
    </row>
    <row r="20" spans="1:18" s="536" customFormat="1" ht="28.5" customHeight="1">
      <c r="A20" s="209">
        <v>2</v>
      </c>
      <c r="B20" s="3627" t="s">
        <v>445</v>
      </c>
      <c r="C20" s="3629"/>
      <c r="D20" s="544" t="s">
        <v>670</v>
      </c>
      <c r="E20" s="486" t="s">
        <v>673</v>
      </c>
      <c r="F20" s="3193">
        <f>'R.FILE GOC'!H51</f>
        <v>0</v>
      </c>
      <c r="G20" s="3194"/>
      <c r="H20" s="3193">
        <f>'R.FILE GOC'!K51</f>
        <v>0</v>
      </c>
      <c r="I20" s="3194"/>
      <c r="J20" s="3193">
        <f>'R.FILE GOC'!N51</f>
        <v>0</v>
      </c>
      <c r="K20" s="3194"/>
      <c r="L20" s="3193">
        <f>'R.FILE GOC'!Q51</f>
        <v>0</v>
      </c>
      <c r="M20" s="3194"/>
      <c r="N20" s="3193">
        <f>'R.GUI MAIL'!T51</f>
        <v>0</v>
      </c>
      <c r="O20" s="3194"/>
      <c r="P20" s="3183">
        <f>'R.FILE GOC'!W51</f>
        <v>0</v>
      </c>
      <c r="Q20" s="3183"/>
      <c r="R20" s="493"/>
    </row>
    <row r="21" spans="1:18" s="536" customFormat="1" ht="28.5" customHeight="1">
      <c r="A21" s="209">
        <v>3</v>
      </c>
      <c r="B21" s="3627" t="s">
        <v>674</v>
      </c>
      <c r="C21" s="3629"/>
      <c r="D21" s="544" t="s">
        <v>670</v>
      </c>
      <c r="E21" s="486" t="s">
        <v>675</v>
      </c>
      <c r="F21" s="3797">
        <f>'R.FILE GOC'!H52</f>
        <v>0</v>
      </c>
      <c r="G21" s="3798"/>
      <c r="H21" s="3193">
        <f>'R.FILE GOC'!K52</f>
        <v>0</v>
      </c>
      <c r="I21" s="3194"/>
      <c r="J21" s="3797">
        <f>'R.FILE GOC'!N52</f>
        <v>0</v>
      </c>
      <c r="K21" s="3798"/>
      <c r="L21" s="3193">
        <f>'R.FILE GOC'!Q52</f>
        <v>0</v>
      </c>
      <c r="M21" s="3194"/>
      <c r="N21" s="3797">
        <f>'R.GUI MAIL'!T52</f>
        <v>0</v>
      </c>
      <c r="O21" s="3798"/>
      <c r="P21" s="3183">
        <f>'R.FILE GOC'!W52</f>
        <v>0</v>
      </c>
      <c r="Q21" s="3183"/>
      <c r="R21" s="493"/>
    </row>
    <row r="22" spans="1:18" s="536" customFormat="1" ht="28.5" customHeight="1">
      <c r="A22" s="327"/>
      <c r="B22" s="326"/>
      <c r="C22" s="326"/>
      <c r="D22" s="603"/>
      <c r="E22" s="604"/>
      <c r="F22" s="3510"/>
      <c r="G22" s="3510"/>
      <c r="H22" s="3510"/>
      <c r="I22" s="3510"/>
      <c r="J22" s="3796"/>
      <c r="K22" s="3796"/>
      <c r="L22" s="3796"/>
      <c r="M22" s="3796"/>
      <c r="N22" s="3796"/>
      <c r="O22" s="3796"/>
      <c r="P22" s="3796"/>
      <c r="Q22" s="3796"/>
      <c r="R22" s="605"/>
    </row>
    <row r="23" spans="1:18" ht="27.75" customHeight="1">
      <c r="A23" s="3635" t="s">
        <v>585</v>
      </c>
      <c r="B23" s="3635"/>
      <c r="C23" s="3635"/>
      <c r="D23" s="3635"/>
      <c r="E23" s="3635"/>
      <c r="F23" s="3635"/>
      <c r="G23" s="3635"/>
      <c r="H23" s="3635"/>
      <c r="I23" s="3635"/>
      <c r="J23" s="3635"/>
      <c r="K23" s="3635"/>
      <c r="L23" s="3635"/>
      <c r="M23" s="3635"/>
      <c r="N23" s="471"/>
      <c r="O23" s="471"/>
      <c r="P23" s="471"/>
      <c r="Q23" s="471"/>
      <c r="R23" s="471"/>
    </row>
    <row r="24" spans="1:18" ht="36.75" customHeight="1">
      <c r="A24" s="3636" t="s">
        <v>914</v>
      </c>
      <c r="B24" s="3636"/>
      <c r="C24" s="3636"/>
      <c r="D24" s="3636"/>
      <c r="E24" s="3636"/>
      <c r="F24" s="3636"/>
      <c r="G24" s="3636"/>
      <c r="H24" s="3636"/>
      <c r="I24" s="3636"/>
      <c r="J24" s="3636"/>
      <c r="K24" s="3636"/>
      <c r="L24" s="3636"/>
      <c r="M24" s="3636"/>
      <c r="N24" s="474"/>
      <c r="O24" s="474"/>
      <c r="P24" s="474"/>
      <c r="Q24" s="474"/>
      <c r="R24" s="474"/>
    </row>
    <row r="25" spans="1:18" ht="27" customHeight="1">
      <c r="A25" s="475"/>
      <c r="B25" s="476" t="s">
        <v>676</v>
      </c>
      <c r="C25" s="476"/>
      <c r="D25" s="477"/>
      <c r="E25" s="478"/>
      <c r="F25" s="477"/>
      <c r="G25" s="477"/>
      <c r="H25" s="477"/>
      <c r="I25" s="477"/>
      <c r="J25" s="3691"/>
      <c r="K25" s="3691"/>
      <c r="L25" s="3691"/>
      <c r="M25" s="525"/>
      <c r="N25" s="3691"/>
      <c r="O25" s="3691"/>
      <c r="P25" s="3691"/>
      <c r="Q25" s="525"/>
      <c r="R25" s="525"/>
    </row>
    <row r="26" spans="1:18" s="527" customFormat="1" ht="42" customHeight="1">
      <c r="A26" s="3684" t="s">
        <v>677</v>
      </c>
      <c r="B26" s="3450" t="s">
        <v>641</v>
      </c>
      <c r="C26" s="3786"/>
      <c r="D26" s="3687" t="s">
        <v>642</v>
      </c>
      <c r="E26" s="3689" t="s">
        <v>643</v>
      </c>
      <c r="F26" s="3661" t="s">
        <v>859</v>
      </c>
      <c r="G26" s="3662"/>
      <c r="H26" s="3662"/>
      <c r="I26" s="3662"/>
      <c r="J26" s="3662"/>
      <c r="K26" s="3662"/>
      <c r="L26" s="3662"/>
      <c r="M26" s="3662"/>
      <c r="N26" s="3662"/>
      <c r="O26" s="3662"/>
      <c r="P26" s="3662"/>
      <c r="Q26" s="3663"/>
      <c r="R26" s="3216" t="s">
        <v>644</v>
      </c>
    </row>
    <row r="27" spans="1:18" s="527" customFormat="1" ht="19.5" customHeight="1">
      <c r="A27" s="3685"/>
      <c r="B27" s="3506"/>
      <c r="C27" s="3787"/>
      <c r="D27" s="3687"/>
      <c r="E27" s="3689"/>
      <c r="F27" s="3646">
        <v>0.875</v>
      </c>
      <c r="G27" s="3647"/>
      <c r="H27" s="3647"/>
      <c r="I27" s="3647"/>
      <c r="J27" s="3648">
        <v>8.3333333333333329E-2</v>
      </c>
      <c r="K27" s="3649"/>
      <c r="L27" s="3649"/>
      <c r="M27" s="3650"/>
      <c r="N27" s="3648">
        <v>0.22916666666666666</v>
      </c>
      <c r="O27" s="3649"/>
      <c r="P27" s="3649"/>
      <c r="Q27" s="3650"/>
      <c r="R27" s="3217"/>
    </row>
    <row r="28" spans="1:18" s="527" customFormat="1" ht="40.5" customHeight="1">
      <c r="A28" s="3686"/>
      <c r="B28" s="3788"/>
      <c r="C28" s="3789"/>
      <c r="D28" s="3688"/>
      <c r="E28" s="3690"/>
      <c r="F28" s="528" t="s">
        <v>645</v>
      </c>
      <c r="G28" s="3507" t="s">
        <v>646</v>
      </c>
      <c r="H28" s="3512"/>
      <c r="I28" s="3693"/>
      <c r="J28" s="528" t="s">
        <v>645</v>
      </c>
      <c r="K28" s="3507" t="s">
        <v>646</v>
      </c>
      <c r="L28" s="3512"/>
      <c r="M28" s="3693"/>
      <c r="N28" s="528" t="s">
        <v>645</v>
      </c>
      <c r="O28" s="3507" t="s">
        <v>646</v>
      </c>
      <c r="P28" s="3512"/>
      <c r="Q28" s="3693"/>
      <c r="R28" s="551" t="s">
        <v>686</v>
      </c>
    </row>
    <row r="29" spans="1:18" s="536" customFormat="1" ht="28.5" customHeight="1">
      <c r="A29" s="529">
        <v>1</v>
      </c>
      <c r="B29" s="3799" t="s">
        <v>856</v>
      </c>
      <c r="C29" s="3800"/>
      <c r="D29" s="834" t="s">
        <v>649</v>
      </c>
      <c r="E29" s="838" t="s">
        <v>448</v>
      </c>
      <c r="F29" s="601">
        <f>'R.GUI MAIL'!Z41</f>
        <v>0</v>
      </c>
      <c r="G29" s="492" t="s">
        <v>601</v>
      </c>
      <c r="H29" s="493">
        <f>'R.GUI MAIL'!AC41</f>
        <v>0</v>
      </c>
      <c r="I29" s="836" t="s">
        <v>607</v>
      </c>
      <c r="J29" s="601">
        <f>'R.GUI MAIL'!AF41</f>
        <v>0</v>
      </c>
      <c r="K29" s="492" t="s">
        <v>601</v>
      </c>
      <c r="L29" s="493">
        <f>'R.GUI MAIL'!AI41</f>
        <v>0</v>
      </c>
      <c r="M29" s="836" t="s">
        <v>607</v>
      </c>
      <c r="N29" s="601">
        <f>'R.GUI MAIL'!AL41</f>
        <v>0</v>
      </c>
      <c r="O29" s="492" t="s">
        <v>601</v>
      </c>
      <c r="P29" s="493">
        <f>'R.GUI MAIL'!AO41</f>
        <v>0</v>
      </c>
      <c r="Q29" s="836" t="s">
        <v>607</v>
      </c>
      <c r="R29" s="551" t="s">
        <v>692</v>
      </c>
    </row>
    <row r="30" spans="1:18" s="536" customFormat="1" ht="26.25" customHeight="1">
      <c r="A30" s="529">
        <v>2</v>
      </c>
      <c r="B30" s="3799" t="s">
        <v>857</v>
      </c>
      <c r="C30" s="3800" t="s">
        <v>654</v>
      </c>
      <c r="D30" s="534" t="s">
        <v>654</v>
      </c>
      <c r="E30" s="837" t="s">
        <v>424</v>
      </c>
      <c r="F30" s="491">
        <f>'R.GUI MAIL'!Z42</f>
        <v>0</v>
      </c>
      <c r="G30" s="492" t="s">
        <v>601</v>
      </c>
      <c r="H30" s="493">
        <f>'R.GUI MAIL'!AC42</f>
        <v>0</v>
      </c>
      <c r="I30" s="209" t="s">
        <v>680</v>
      </c>
      <c r="J30" s="491">
        <f>'R.GUI MAIL'!AF42</f>
        <v>0</v>
      </c>
      <c r="K30" s="492" t="s">
        <v>601</v>
      </c>
      <c r="L30" s="493">
        <f>'R.GUI MAIL'!AI42</f>
        <v>0</v>
      </c>
      <c r="M30" s="209" t="s">
        <v>680</v>
      </c>
      <c r="N30" s="491">
        <f>'R.GUI MAIL'!AL42</f>
        <v>0</v>
      </c>
      <c r="O30" s="492" t="s">
        <v>601</v>
      </c>
      <c r="P30" s="493">
        <f>'R.GUI MAIL'!AO42</f>
        <v>0</v>
      </c>
      <c r="Q30" s="209" t="s">
        <v>680</v>
      </c>
      <c r="R30" s="551" t="s">
        <v>687</v>
      </c>
    </row>
    <row r="31" spans="1:18" s="536" customFormat="1" ht="28.5" customHeight="1">
      <c r="A31" s="529">
        <v>4</v>
      </c>
      <c r="B31" s="3790" t="s">
        <v>685</v>
      </c>
      <c r="C31" s="3793">
        <f>R.HN!B27</f>
        <v>0</v>
      </c>
      <c r="D31" s="3697" t="s">
        <v>429</v>
      </c>
      <c r="E31" s="486" t="s">
        <v>727</v>
      </c>
      <c r="F31" s="601">
        <f>'R.GUI MAIL'!Z43</f>
        <v>0</v>
      </c>
      <c r="G31" s="492" t="s">
        <v>601</v>
      </c>
      <c r="H31" s="493">
        <f>'R.GUI MAIL'!AC43</f>
        <v>0</v>
      </c>
      <c r="I31" s="209" t="s">
        <v>678</v>
      </c>
      <c r="J31" s="601">
        <f>'R.GUI MAIL'!AF43</f>
        <v>0</v>
      </c>
      <c r="K31" s="492" t="s">
        <v>601</v>
      </c>
      <c r="L31" s="493">
        <f>'R.GUI MAIL'!AI43</f>
        <v>0</v>
      </c>
      <c r="M31" s="209" t="s">
        <v>678</v>
      </c>
      <c r="N31" s="601">
        <f>'R.GUI MAIL'!AL43</f>
        <v>0</v>
      </c>
      <c r="O31" s="492" t="s">
        <v>601</v>
      </c>
      <c r="P31" s="493">
        <f>'R.GUI MAIL'!AO43</f>
        <v>0</v>
      </c>
      <c r="Q31" s="209" t="s">
        <v>678</v>
      </c>
      <c r="R31" s="551" t="s">
        <v>690</v>
      </c>
    </row>
    <row r="32" spans="1:18" s="536" customFormat="1" ht="28.5" customHeight="1">
      <c r="A32" s="529">
        <v>5</v>
      </c>
      <c r="B32" s="3791"/>
      <c r="C32" s="3794"/>
      <c r="D32" s="3697"/>
      <c r="E32" s="486" t="s">
        <v>723</v>
      </c>
      <c r="F32" s="601">
        <f>'R.GUI MAIL'!Z44</f>
        <v>0</v>
      </c>
      <c r="G32" s="492" t="s">
        <v>601</v>
      </c>
      <c r="H32" s="493">
        <f>'R.GUI MAIL'!AC44</f>
        <v>0</v>
      </c>
      <c r="I32" s="209" t="s">
        <v>678</v>
      </c>
      <c r="J32" s="601">
        <f>'R.GUI MAIL'!AF44</f>
        <v>0</v>
      </c>
      <c r="K32" s="492" t="s">
        <v>601</v>
      </c>
      <c r="L32" s="493">
        <f>'R.GUI MAIL'!AI44</f>
        <v>0</v>
      </c>
      <c r="M32" s="209" t="s">
        <v>678</v>
      </c>
      <c r="N32" s="601">
        <f>'R.GUI MAIL'!AL44</f>
        <v>0</v>
      </c>
      <c r="O32" s="492" t="s">
        <v>601</v>
      </c>
      <c r="P32" s="493">
        <f>'R.GUI MAIL'!AO44</f>
        <v>0</v>
      </c>
      <c r="Q32" s="209" t="s">
        <v>678</v>
      </c>
      <c r="R32" s="552"/>
    </row>
    <row r="33" spans="1:18" s="536" customFormat="1" ht="28.5" customHeight="1">
      <c r="A33" s="529">
        <v>6</v>
      </c>
      <c r="B33" s="3792"/>
      <c r="C33" s="3795"/>
      <c r="D33" s="3697"/>
      <c r="E33" s="486" t="s">
        <v>611</v>
      </c>
      <c r="F33" s="602">
        <f>'R.GUI MAIL'!Z45</f>
        <v>0</v>
      </c>
      <c r="G33" s="492" t="s">
        <v>601</v>
      </c>
      <c r="H33" s="493">
        <f>'R.GUI MAIL'!AC45</f>
        <v>0</v>
      </c>
      <c r="I33" s="64" t="s">
        <v>678</v>
      </c>
      <c r="J33" s="602">
        <f>'R.GUI MAIL'!AF45</f>
        <v>0</v>
      </c>
      <c r="K33" s="492" t="s">
        <v>601</v>
      </c>
      <c r="L33" s="493">
        <f>'R.GUI MAIL'!AI45</f>
        <v>0</v>
      </c>
      <c r="M33" s="64" t="s">
        <v>678</v>
      </c>
      <c r="N33" s="602">
        <f>'R.GUI MAIL'!AL45</f>
        <v>0</v>
      </c>
      <c r="O33" s="492" t="s">
        <v>601</v>
      </c>
      <c r="P33" s="493">
        <f>'R.GUI MAIL'!AO45</f>
        <v>0</v>
      </c>
      <c r="Q33" s="64" t="s">
        <v>678</v>
      </c>
      <c r="R33" s="551" t="s">
        <v>689</v>
      </c>
    </row>
    <row r="34" spans="1:18" s="536" customFormat="1" ht="28.5" hidden="1" customHeight="1">
      <c r="A34" s="529">
        <v>7</v>
      </c>
      <c r="B34" s="3790" t="s">
        <v>724</v>
      </c>
      <c r="C34" s="3793">
        <f>R.HN!B30</f>
        <v>0</v>
      </c>
      <c r="D34" s="3697" t="s">
        <v>429</v>
      </c>
      <c r="E34" s="486" t="s">
        <v>727</v>
      </c>
      <c r="F34" s="601" t="e">
        <f>'R.GUI MAIL'!#REF!</f>
        <v>#REF!</v>
      </c>
      <c r="G34" s="492" t="s">
        <v>601</v>
      </c>
      <c r="H34" s="493" t="e">
        <f>'R.GUI MAIL'!#REF!</f>
        <v>#REF!</v>
      </c>
      <c r="I34" s="209" t="s">
        <v>678</v>
      </c>
      <c r="J34" s="601" t="e">
        <f>'R.GUI MAIL'!#REF!</f>
        <v>#REF!</v>
      </c>
      <c r="K34" s="492" t="s">
        <v>601</v>
      </c>
      <c r="L34" s="493" t="e">
        <f>'R.GUI MAIL'!#REF!</f>
        <v>#REF!</v>
      </c>
      <c r="M34" s="209" t="s">
        <v>678</v>
      </c>
      <c r="N34" s="601" t="e">
        <f>'R.GUI MAIL'!#REF!</f>
        <v>#REF!</v>
      </c>
      <c r="O34" s="492" t="s">
        <v>601</v>
      </c>
      <c r="P34" s="493" t="e">
        <f>'R.GUI MAIL'!#REF!</f>
        <v>#REF!</v>
      </c>
      <c r="Q34" s="209" t="s">
        <v>678</v>
      </c>
      <c r="R34" s="551" t="s">
        <v>690</v>
      </c>
    </row>
    <row r="35" spans="1:18" s="536" customFormat="1" ht="28.5" hidden="1" customHeight="1">
      <c r="A35" s="529">
        <v>8</v>
      </c>
      <c r="B35" s="3791"/>
      <c r="C35" s="3794"/>
      <c r="D35" s="3697"/>
      <c r="E35" s="486" t="s">
        <v>723</v>
      </c>
      <c r="F35" s="601" t="e">
        <f>'R.GUI MAIL'!#REF!</f>
        <v>#REF!</v>
      </c>
      <c r="G35" s="492" t="s">
        <v>601</v>
      </c>
      <c r="H35" s="493" t="e">
        <f>'R.GUI MAIL'!#REF!</f>
        <v>#REF!</v>
      </c>
      <c r="I35" s="209" t="s">
        <v>678</v>
      </c>
      <c r="J35" s="601" t="e">
        <f>'R.GUI MAIL'!#REF!</f>
        <v>#REF!</v>
      </c>
      <c r="K35" s="492" t="s">
        <v>601</v>
      </c>
      <c r="L35" s="493" t="e">
        <f>'R.GUI MAIL'!#REF!</f>
        <v>#REF!</v>
      </c>
      <c r="M35" s="209" t="s">
        <v>678</v>
      </c>
      <c r="N35" s="601" t="e">
        <f>'R.GUI MAIL'!#REF!</f>
        <v>#REF!</v>
      </c>
      <c r="O35" s="492" t="s">
        <v>601</v>
      </c>
      <c r="P35" s="493" t="e">
        <f>'R.GUI MAIL'!#REF!</f>
        <v>#REF!</v>
      </c>
      <c r="Q35" s="209" t="s">
        <v>678</v>
      </c>
      <c r="R35" s="551"/>
    </row>
    <row r="36" spans="1:18" s="536" customFormat="1" ht="28.5" hidden="1" customHeight="1">
      <c r="A36" s="529">
        <v>9</v>
      </c>
      <c r="B36" s="3792"/>
      <c r="C36" s="3795"/>
      <c r="D36" s="3697"/>
      <c r="E36" s="486" t="s">
        <v>611</v>
      </c>
      <c r="F36" s="602" t="e">
        <f>'R.GUI MAIL'!#REF!</f>
        <v>#REF!</v>
      </c>
      <c r="G36" s="492" t="s">
        <v>601</v>
      </c>
      <c r="H36" s="493" t="e">
        <f>'R.GUI MAIL'!#REF!</f>
        <v>#REF!</v>
      </c>
      <c r="I36" s="64" t="s">
        <v>678</v>
      </c>
      <c r="J36" s="602" t="e">
        <f>'R.GUI MAIL'!#REF!</f>
        <v>#REF!</v>
      </c>
      <c r="K36" s="492" t="s">
        <v>601</v>
      </c>
      <c r="L36" s="493" t="e">
        <f>'R.GUI MAIL'!#REF!</f>
        <v>#REF!</v>
      </c>
      <c r="M36" s="64" t="s">
        <v>678</v>
      </c>
      <c r="N36" s="602" t="e">
        <f>'R.GUI MAIL'!#REF!</f>
        <v>#REF!</v>
      </c>
      <c r="O36" s="492" t="s">
        <v>601</v>
      </c>
      <c r="P36" s="493" t="e">
        <f>'R.GUI MAIL'!#REF!</f>
        <v>#REF!</v>
      </c>
      <c r="Q36" s="64" t="s">
        <v>678</v>
      </c>
      <c r="R36" s="551" t="s">
        <v>689</v>
      </c>
    </row>
    <row r="37" spans="1:18" s="541" customFormat="1" ht="28.5" customHeight="1">
      <c r="A37" s="529">
        <v>16</v>
      </c>
      <c r="B37" s="3790" t="s">
        <v>661</v>
      </c>
      <c r="C37" s="3793"/>
      <c r="D37" s="531" t="s">
        <v>429</v>
      </c>
      <c r="E37" s="486" t="s">
        <v>439</v>
      </c>
      <c r="F37" s="601">
        <f>'R.GUI MAIL'!Z46</f>
        <v>0</v>
      </c>
      <c r="G37" s="547" t="s">
        <v>601</v>
      </c>
      <c r="H37" s="539">
        <f>'R.GUI MAIL'!AC46</f>
        <v>0</v>
      </c>
      <c r="I37" s="532" t="s">
        <v>678</v>
      </c>
      <c r="J37" s="601">
        <f>'R.GUI MAIL'!AF46</f>
        <v>0</v>
      </c>
      <c r="K37" s="547" t="s">
        <v>601</v>
      </c>
      <c r="L37" s="539">
        <f>'R.GUI MAIL'!AI46</f>
        <v>0</v>
      </c>
      <c r="M37" s="532" t="s">
        <v>678</v>
      </c>
      <c r="N37" s="601">
        <f>'R.GUI MAIL'!AL46</f>
        <v>0</v>
      </c>
      <c r="O37" s="547" t="s">
        <v>601</v>
      </c>
      <c r="P37" s="539">
        <f>'R.GUI MAIL'!AO46</f>
        <v>0</v>
      </c>
      <c r="Q37" s="532" t="s">
        <v>678</v>
      </c>
      <c r="R37" s="540" t="s">
        <v>662</v>
      </c>
    </row>
    <row r="38" spans="1:18" s="541" customFormat="1" ht="28.5" customHeight="1">
      <c r="A38" s="529">
        <v>17</v>
      </c>
      <c r="B38" s="3792"/>
      <c r="C38" s="3795"/>
      <c r="D38" s="542" t="s">
        <v>683</v>
      </c>
      <c r="E38" s="983" t="s">
        <v>964</v>
      </c>
      <c r="F38" s="601">
        <f>'R.GUI MAIL'!Z47</f>
        <v>0</v>
      </c>
      <c r="G38" s="492" t="s">
        <v>601</v>
      </c>
      <c r="H38" s="493">
        <f>'R.GUI MAIL'!AC47</f>
        <v>0</v>
      </c>
      <c r="I38" s="209" t="s">
        <v>678</v>
      </c>
      <c r="J38" s="601">
        <f>'R.GUI MAIL'!AF47</f>
        <v>0</v>
      </c>
      <c r="K38" s="492" t="s">
        <v>601</v>
      </c>
      <c r="L38" s="493">
        <f>'R.GUI MAIL'!AI47</f>
        <v>0</v>
      </c>
      <c r="M38" s="209" t="s">
        <v>678</v>
      </c>
      <c r="N38" s="601">
        <f>'R.GUI MAIL'!AL47</f>
        <v>0</v>
      </c>
      <c r="O38" s="492" t="s">
        <v>601</v>
      </c>
      <c r="P38" s="493">
        <f>'R.GUI MAIL'!AO47</f>
        <v>0</v>
      </c>
      <c r="Q38" s="209" t="s">
        <v>678</v>
      </c>
      <c r="R38" s="209"/>
    </row>
    <row r="39" spans="1:18" s="536" customFormat="1" ht="28.5" customHeight="1">
      <c r="A39" s="3698" t="s">
        <v>664</v>
      </c>
      <c r="B39" s="3698"/>
      <c r="C39" s="3698"/>
      <c r="D39" s="3698"/>
      <c r="E39" s="3698"/>
      <c r="F39" s="3698"/>
      <c r="G39" s="3698"/>
      <c r="H39" s="3698"/>
      <c r="I39" s="3698"/>
      <c r="J39" s="3698"/>
      <c r="K39" s="3698"/>
      <c r="L39" s="3698"/>
      <c r="M39" s="3698"/>
      <c r="N39" s="3698"/>
      <c r="O39" s="3698"/>
      <c r="P39" s="3698"/>
      <c r="Q39" s="3698"/>
      <c r="R39" s="3698"/>
    </row>
    <row r="40" spans="1:18" s="536" customFormat="1" ht="28.5" customHeight="1">
      <c r="A40" s="209" t="s">
        <v>684</v>
      </c>
      <c r="B40" s="3627" t="s">
        <v>666</v>
      </c>
      <c r="C40" s="3629"/>
      <c r="D40" s="543" t="s">
        <v>667</v>
      </c>
      <c r="E40" s="543" t="s">
        <v>668</v>
      </c>
      <c r="F40" s="3658" t="s">
        <v>45</v>
      </c>
      <c r="G40" s="3658"/>
      <c r="H40" s="3658" t="s">
        <v>61</v>
      </c>
      <c r="I40" s="3658"/>
      <c r="J40" s="3658" t="s">
        <v>45</v>
      </c>
      <c r="K40" s="3658"/>
      <c r="L40" s="3658" t="s">
        <v>61</v>
      </c>
      <c r="M40" s="3658"/>
      <c r="N40" s="3658" t="s">
        <v>45</v>
      </c>
      <c r="O40" s="3658"/>
      <c r="P40" s="3658" t="s">
        <v>61</v>
      </c>
      <c r="Q40" s="3658"/>
      <c r="R40" s="550"/>
    </row>
    <row r="41" spans="1:18" s="536" customFormat="1" ht="28.5" customHeight="1">
      <c r="A41" s="209">
        <v>1</v>
      </c>
      <c r="B41" s="3627" t="s">
        <v>863</v>
      </c>
      <c r="C41" s="3629"/>
      <c r="D41" s="544" t="s">
        <v>670</v>
      </c>
      <c r="E41" s="838" t="s">
        <v>671</v>
      </c>
      <c r="F41" s="3797">
        <f>'R.GUI MAIL'!Z50</f>
        <v>0</v>
      </c>
      <c r="G41" s="3798"/>
      <c r="H41" s="3193">
        <f>'R.FILE GOC'!AC50</f>
        <v>0</v>
      </c>
      <c r="I41" s="3194"/>
      <c r="J41" s="3797">
        <f>'R.GUI MAIL'!AF50</f>
        <v>0</v>
      </c>
      <c r="K41" s="3798"/>
      <c r="L41" s="3193">
        <f>'R.FILE GOC'!AI50</f>
        <v>0</v>
      </c>
      <c r="M41" s="3194"/>
      <c r="N41" s="3797">
        <f>'R.GUI MAIL'!AL50</f>
        <v>0</v>
      </c>
      <c r="O41" s="3798"/>
      <c r="P41" s="3193">
        <f>'R.FILE GOC'!AO50</f>
        <v>0</v>
      </c>
      <c r="Q41" s="3194"/>
      <c r="R41" s="270"/>
    </row>
    <row r="42" spans="1:18" s="536" customFormat="1" ht="28.5" customHeight="1">
      <c r="A42" s="209">
        <v>2</v>
      </c>
      <c r="B42" s="3627" t="s">
        <v>445</v>
      </c>
      <c r="C42" s="3629"/>
      <c r="D42" s="544" t="s">
        <v>670</v>
      </c>
      <c r="E42" s="486" t="s">
        <v>673</v>
      </c>
      <c r="F42" s="3193">
        <f>'R.GUI MAIL'!Z51</f>
        <v>0</v>
      </c>
      <c r="G42" s="3194"/>
      <c r="H42" s="3193">
        <f>'R.FILE GOC'!AC51</f>
        <v>0</v>
      </c>
      <c r="I42" s="3194"/>
      <c r="J42" s="3193">
        <f>'R.GUI MAIL'!AF51</f>
        <v>0</v>
      </c>
      <c r="K42" s="3194"/>
      <c r="L42" s="3193">
        <f>'R.FILE GOC'!AI51</f>
        <v>0</v>
      </c>
      <c r="M42" s="3194"/>
      <c r="N42" s="3193">
        <f>'R.GUI MAIL'!AL51</f>
        <v>0</v>
      </c>
      <c r="O42" s="3194"/>
      <c r="P42" s="3193">
        <f>'R.FILE GOC'!AO51</f>
        <v>0</v>
      </c>
      <c r="Q42" s="3194"/>
      <c r="R42" s="64"/>
    </row>
    <row r="43" spans="1:18" s="536" customFormat="1" ht="28.5" customHeight="1">
      <c r="A43" s="209">
        <v>3</v>
      </c>
      <c r="B43" s="3627" t="s">
        <v>674</v>
      </c>
      <c r="C43" s="3629"/>
      <c r="D43" s="544" t="s">
        <v>670</v>
      </c>
      <c r="E43" s="486" t="s">
        <v>675</v>
      </c>
      <c r="F43" s="3797">
        <f>'R.GUI MAIL'!Z52</f>
        <v>0</v>
      </c>
      <c r="G43" s="3798"/>
      <c r="H43" s="3193">
        <f>'R.FILE GOC'!AC52</f>
        <v>0</v>
      </c>
      <c r="I43" s="3194"/>
      <c r="J43" s="3797">
        <f>'R.GUI MAIL'!AF52</f>
        <v>0</v>
      </c>
      <c r="K43" s="3798"/>
      <c r="L43" s="3193">
        <f>'R.FILE GOC'!AI52</f>
        <v>0</v>
      </c>
      <c r="M43" s="3194"/>
      <c r="N43" s="3797">
        <f>'R.GUI MAIL'!AL52</f>
        <v>0</v>
      </c>
      <c r="O43" s="3798"/>
      <c r="P43" s="3193">
        <f>'R.FILE GOC'!AO52</f>
        <v>0</v>
      </c>
      <c r="Q43" s="3194"/>
      <c r="R43" s="270"/>
    </row>
    <row r="44" spans="1:18" ht="28.5" customHeight="1">
      <c r="A44" s="327"/>
      <c r="B44" s="326"/>
      <c r="C44" s="326"/>
      <c r="D44" s="603"/>
      <c r="E44" s="604"/>
      <c r="F44" s="3510"/>
      <c r="G44" s="3510"/>
      <c r="H44" s="3510"/>
      <c r="I44" s="3510"/>
      <c r="J44" s="3796"/>
      <c r="K44" s="3796"/>
      <c r="L44" s="3796"/>
      <c r="M44" s="3796"/>
      <c r="N44" s="3796"/>
      <c r="O44" s="3796"/>
      <c r="P44" s="3796"/>
      <c r="Q44" s="3796"/>
      <c r="R44" s="606"/>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7" type="noConversion"/>
  <conditionalFormatting sqref="F7:F8 J7:J8">
    <cfRule type="expression" dxfId="569" priority="116">
      <formula>F7&lt;10</formula>
    </cfRule>
    <cfRule type="expression" dxfId="568" priority="117">
      <formula>F7&gt;15</formula>
    </cfRule>
  </conditionalFormatting>
  <conditionalFormatting sqref="F9 F12 J9 J12">
    <cfRule type="expression" dxfId="567" priority="114">
      <formula>F9&lt;40</formula>
    </cfRule>
    <cfRule type="expression" dxfId="566" priority="115">
      <formula>F9&gt;60</formula>
    </cfRule>
  </conditionalFormatting>
  <conditionalFormatting sqref="F10 F13 J10 J13">
    <cfRule type="expression" dxfId="565" priority="112">
      <formula>F10&lt;5.2</formula>
    </cfRule>
    <cfRule type="expression" dxfId="564" priority="113">
      <formula>F10&gt;7.8</formula>
    </cfRule>
  </conditionalFormatting>
  <conditionalFormatting sqref="F11 F14 J11 J14">
    <cfRule type="expression" dxfId="563" priority="111">
      <formula>F11&gt;0.4</formula>
    </cfRule>
  </conditionalFormatting>
  <conditionalFormatting sqref="F15 J15">
    <cfRule type="expression" dxfId="562" priority="109">
      <formula>F15&lt;0.8</formula>
    </cfRule>
    <cfRule type="expression" dxfId="561" priority="110">
      <formula>F15&gt;1.2</formula>
    </cfRule>
  </conditionalFormatting>
  <conditionalFormatting sqref="F16 J16">
    <cfRule type="expression" dxfId="560" priority="107">
      <formula>F16&lt;8</formula>
    </cfRule>
    <cfRule type="expression" dxfId="559" priority="108">
      <formula>F16&gt;10</formula>
    </cfRule>
  </conditionalFormatting>
  <conditionalFormatting sqref="N7:N8">
    <cfRule type="expression" dxfId="558" priority="101">
      <formula>N7&lt;10</formula>
    </cfRule>
    <cfRule type="expression" dxfId="557" priority="102">
      <formula>N7&gt;15</formula>
    </cfRule>
  </conditionalFormatting>
  <conditionalFormatting sqref="N9 N12">
    <cfRule type="expression" dxfId="556" priority="99">
      <formula>N9&lt;40</formula>
    </cfRule>
    <cfRule type="expression" dxfId="555" priority="100">
      <formula>N9&gt;60</formula>
    </cfRule>
  </conditionalFormatting>
  <conditionalFormatting sqref="N10 N13">
    <cfRule type="expression" dxfId="554" priority="97">
      <formula>N10&lt;5.2</formula>
    </cfRule>
    <cfRule type="expression" dxfId="553" priority="98">
      <formula>N10&gt;7.8</formula>
    </cfRule>
  </conditionalFormatting>
  <conditionalFormatting sqref="N11 N14">
    <cfRule type="expression" dxfId="552" priority="96">
      <formula>N11&gt;0.4</formula>
    </cfRule>
  </conditionalFormatting>
  <conditionalFormatting sqref="N15">
    <cfRule type="expression" dxfId="551" priority="94">
      <formula>N15&lt;0.8</formula>
    </cfRule>
    <cfRule type="expression" dxfId="550" priority="95">
      <formula>N15&gt;1.2</formula>
    </cfRule>
  </conditionalFormatting>
  <conditionalFormatting sqref="N16">
    <cfRule type="expression" dxfId="549" priority="92">
      <formula>N16&lt;8</formula>
    </cfRule>
    <cfRule type="expression" dxfId="548" priority="93">
      <formula>N16&gt;10</formula>
    </cfRule>
  </conditionalFormatting>
  <conditionalFormatting sqref="J29:J30">
    <cfRule type="expression" dxfId="547" priority="78">
      <formula>J29&lt;10</formula>
    </cfRule>
    <cfRule type="expression" dxfId="546" priority="79">
      <formula>J29&gt;15</formula>
    </cfRule>
  </conditionalFormatting>
  <conditionalFormatting sqref="J31 J34">
    <cfRule type="expression" dxfId="545" priority="76">
      <formula>J31&lt;40</formula>
    </cfRule>
    <cfRule type="expression" dxfId="544" priority="77">
      <formula>J31&gt;60</formula>
    </cfRule>
  </conditionalFormatting>
  <conditionalFormatting sqref="J32 J35">
    <cfRule type="expression" dxfId="543" priority="74">
      <formula>J32&lt;5.2</formula>
    </cfRule>
    <cfRule type="expression" dxfId="542" priority="75">
      <formula>J32&gt;7.8</formula>
    </cfRule>
  </conditionalFormatting>
  <conditionalFormatting sqref="J33 J36">
    <cfRule type="expression" dxfId="541" priority="73">
      <formula>J33&gt;0.4</formula>
    </cfRule>
  </conditionalFormatting>
  <conditionalFormatting sqref="J37">
    <cfRule type="expression" dxfId="540" priority="71">
      <formula>J37&lt;0.8</formula>
    </cfRule>
    <cfRule type="expression" dxfId="539" priority="72">
      <formula>J37&gt;1.2</formula>
    </cfRule>
  </conditionalFormatting>
  <conditionalFormatting sqref="J38">
    <cfRule type="expression" dxfId="538" priority="69">
      <formula>J38&lt;8</formula>
    </cfRule>
    <cfRule type="expression" dxfId="537" priority="70">
      <formula>J38&gt;10</formula>
    </cfRule>
  </conditionalFormatting>
  <conditionalFormatting sqref="N29:N30">
    <cfRule type="expression" dxfId="536" priority="67">
      <formula>N29&lt;10</formula>
    </cfRule>
    <cfRule type="expression" dxfId="535" priority="68">
      <formula>N29&gt;15</formula>
    </cfRule>
  </conditionalFormatting>
  <conditionalFormatting sqref="N31 N34">
    <cfRule type="expression" dxfId="534" priority="65">
      <formula>N31&lt;40</formula>
    </cfRule>
    <cfRule type="expression" dxfId="533" priority="66">
      <formula>N31&gt;60</formula>
    </cfRule>
  </conditionalFormatting>
  <conditionalFormatting sqref="N32 N35">
    <cfRule type="expression" dxfId="532" priority="63">
      <formula>N32&lt;5.2</formula>
    </cfRule>
    <cfRule type="expression" dxfId="531" priority="64">
      <formula>N32&gt;7.8</formula>
    </cfRule>
  </conditionalFormatting>
  <conditionalFormatting sqref="N33 N36">
    <cfRule type="expression" dxfId="530" priority="62">
      <formula>N33&gt;0.4</formula>
    </cfRule>
  </conditionalFormatting>
  <conditionalFormatting sqref="N37">
    <cfRule type="expression" dxfId="529" priority="60">
      <formula>N37&lt;0.8</formula>
    </cfRule>
    <cfRule type="expression" dxfId="528" priority="61">
      <formula>N37&gt;1.2</formula>
    </cfRule>
  </conditionalFormatting>
  <conditionalFormatting sqref="N38">
    <cfRule type="expression" dxfId="527" priority="58">
      <formula>N38&lt;8</formula>
    </cfRule>
    <cfRule type="expression" dxfId="526" priority="59">
      <formula>N38&gt;10</formula>
    </cfRule>
  </conditionalFormatting>
  <conditionalFormatting sqref="F29:F30">
    <cfRule type="expression" dxfId="525" priority="56">
      <formula>F29&lt;10</formula>
    </cfRule>
    <cfRule type="expression" dxfId="524" priority="57">
      <formula>F29&gt;15</formula>
    </cfRule>
  </conditionalFormatting>
  <conditionalFormatting sqref="F31 F34">
    <cfRule type="expression" dxfId="523" priority="54">
      <formula>F31&lt;40</formula>
    </cfRule>
    <cfRule type="expression" dxfId="522" priority="55">
      <formula>F31&gt;60</formula>
    </cfRule>
  </conditionalFormatting>
  <conditionalFormatting sqref="F32 F35">
    <cfRule type="expression" dxfId="521" priority="52">
      <formula>F32&lt;5.2</formula>
    </cfRule>
    <cfRule type="expression" dxfId="520" priority="53">
      <formula>F32&gt;7.8</formula>
    </cfRule>
  </conditionalFormatting>
  <conditionalFormatting sqref="F33 F36">
    <cfRule type="expression" dxfId="519" priority="51">
      <formula>F33&gt;0.4</formula>
    </cfRule>
  </conditionalFormatting>
  <conditionalFormatting sqref="F37">
    <cfRule type="expression" dxfId="518" priority="49">
      <formula>F37&lt;0.8</formula>
    </cfRule>
    <cfRule type="expression" dxfId="517" priority="50">
      <formula>F37&gt;1.2</formula>
    </cfRule>
  </conditionalFormatting>
  <conditionalFormatting sqref="F38">
    <cfRule type="expression" dxfId="516" priority="47">
      <formula>F38&lt;8</formula>
    </cfRule>
    <cfRule type="expression" dxfId="515" priority="48">
      <formula>F38&gt;10</formula>
    </cfRule>
  </conditionalFormatting>
  <conditionalFormatting sqref="F8">
    <cfRule type="expression" dxfId="514" priority="41">
      <formula>F8&lt;10</formula>
    </cfRule>
    <cfRule type="expression" dxfId="513" priority="42">
      <formula>F8&gt;15</formula>
    </cfRule>
  </conditionalFormatting>
  <conditionalFormatting sqref="F8">
    <cfRule type="expression" dxfId="512" priority="40">
      <formula>F8&lt;1</formula>
    </cfRule>
  </conditionalFormatting>
  <conditionalFormatting sqref="J8">
    <cfRule type="expression" dxfId="511" priority="38">
      <formula>J8&lt;10</formula>
    </cfRule>
    <cfRule type="expression" dxfId="510" priority="39">
      <formula>J8&gt;15</formula>
    </cfRule>
  </conditionalFormatting>
  <conditionalFormatting sqref="J8">
    <cfRule type="expression" dxfId="509" priority="37">
      <formula>J8&lt;1</formula>
    </cfRule>
  </conditionalFormatting>
  <conditionalFormatting sqref="N8">
    <cfRule type="expression" dxfId="508" priority="35">
      <formula>N8&lt;10</formula>
    </cfRule>
    <cfRule type="expression" dxfId="507" priority="36">
      <formula>N8&gt;15</formula>
    </cfRule>
  </conditionalFormatting>
  <conditionalFormatting sqref="N8">
    <cfRule type="expression" dxfId="506" priority="33">
      <formula>N8&lt;10</formula>
    </cfRule>
    <cfRule type="expression" dxfId="505" priority="34">
      <formula>N8&gt;15</formula>
    </cfRule>
  </conditionalFormatting>
  <conditionalFormatting sqref="N8">
    <cfRule type="expression" dxfId="504" priority="32">
      <formula>N8&lt;1</formula>
    </cfRule>
  </conditionalFormatting>
  <conditionalFormatting sqref="F30 J30">
    <cfRule type="expression" dxfId="503" priority="30">
      <formula>F30&lt;10</formula>
    </cfRule>
    <cfRule type="expression" dxfId="502" priority="31">
      <formula>F30&gt;15</formula>
    </cfRule>
  </conditionalFormatting>
  <conditionalFormatting sqref="N30">
    <cfRule type="expression" dxfId="501" priority="28">
      <formula>N30&lt;10</formula>
    </cfRule>
    <cfRule type="expression" dxfId="500" priority="29">
      <formula>N30&gt;15</formula>
    </cfRule>
  </conditionalFormatting>
  <conditionalFormatting sqref="F30">
    <cfRule type="expression" dxfId="499" priority="26">
      <formula>F30&lt;10</formula>
    </cfRule>
    <cfRule type="expression" dxfId="498" priority="27">
      <formula>F30&gt;15</formula>
    </cfRule>
  </conditionalFormatting>
  <conditionalFormatting sqref="F30">
    <cfRule type="expression" dxfId="497" priority="25">
      <formula>F30&lt;1</formula>
    </cfRule>
  </conditionalFormatting>
  <conditionalFormatting sqref="J30">
    <cfRule type="expression" dxfId="496" priority="23">
      <formula>J30&lt;10</formula>
    </cfRule>
    <cfRule type="expression" dxfId="495" priority="24">
      <formula>J30&gt;15</formula>
    </cfRule>
  </conditionalFormatting>
  <conditionalFormatting sqref="J30">
    <cfRule type="expression" dxfId="494" priority="22">
      <formula>J30&lt;1</formula>
    </cfRule>
  </conditionalFormatting>
  <conditionalFormatting sqref="N30">
    <cfRule type="expression" dxfId="493" priority="20">
      <formula>N30&lt;10</formula>
    </cfRule>
    <cfRule type="expression" dxfId="492" priority="21">
      <formula>N30&gt;15</formula>
    </cfRule>
  </conditionalFormatting>
  <conditionalFormatting sqref="N30">
    <cfRule type="expression" dxfId="491" priority="18">
      <formula>N30&lt;10</formula>
    </cfRule>
    <cfRule type="expression" dxfId="490" priority="19">
      <formula>N30&gt;15</formula>
    </cfRule>
  </conditionalFormatting>
  <conditionalFormatting sqref="N30">
    <cfRule type="expression" dxfId="489" priority="17">
      <formula>N30&lt;1</formula>
    </cfRule>
  </conditionalFormatting>
  <conditionalFormatting sqref="F41:G42">
    <cfRule type="expression" dxfId="488" priority="15">
      <formula>F41&lt;65</formula>
    </cfRule>
    <cfRule type="expression" dxfId="487" priority="16">
      <formula>F41&gt;85</formula>
    </cfRule>
  </conditionalFormatting>
  <conditionalFormatting sqref="F43:G43">
    <cfRule type="expression" dxfId="486" priority="13">
      <formula>F43&lt;80</formula>
    </cfRule>
    <cfRule type="expression" dxfId="485" priority="14">
      <formula>F43&gt;90</formula>
    </cfRule>
  </conditionalFormatting>
  <conditionalFormatting sqref="H41:Q42">
    <cfRule type="expression" dxfId="484" priority="11">
      <formula>H41&lt;65</formula>
    </cfRule>
    <cfRule type="expression" dxfId="483" priority="12">
      <formula>H41&gt;85</formula>
    </cfRule>
  </conditionalFormatting>
  <conditionalFormatting sqref="H43:Q43">
    <cfRule type="expression" dxfId="482" priority="9">
      <formula>H43&lt;80</formula>
    </cfRule>
    <cfRule type="expression" dxfId="481" priority="10">
      <formula>H43&gt;90</formula>
    </cfRule>
  </conditionalFormatting>
  <conditionalFormatting sqref="F19:G20">
    <cfRule type="expression" dxfId="480" priority="7">
      <formula>F19&lt;65</formula>
    </cfRule>
    <cfRule type="expression" dxfId="479" priority="8">
      <formula>F19&gt;85</formula>
    </cfRule>
  </conditionalFormatting>
  <conditionalFormatting sqref="F21:G21">
    <cfRule type="expression" dxfId="478" priority="5">
      <formula>F21&lt;80</formula>
    </cfRule>
    <cfRule type="expression" dxfId="477" priority="6">
      <formula>F21&gt;90</formula>
    </cfRule>
  </conditionalFormatting>
  <conditionalFormatting sqref="H19:Q20">
    <cfRule type="expression" dxfId="476" priority="3">
      <formula>H19&lt;65</formula>
    </cfRule>
    <cfRule type="expression" dxfId="475" priority="4">
      <formula>H19&gt;85</formula>
    </cfRule>
  </conditionalFormatting>
  <conditionalFormatting sqref="H21:Q21">
    <cfRule type="expression" dxfId="474" priority="1">
      <formula>H21&lt;80</formula>
    </cfRule>
    <cfRule type="expression" dxfId="473"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1">
    <tabColor rgb="FFFF0000"/>
  </sheetPr>
  <dimension ref="A1:R33"/>
  <sheetViews>
    <sheetView topLeftCell="A8" zoomScale="55" zoomScaleNormal="55" workbookViewId="0">
      <selection activeCell="Y145" sqref="Y145"/>
    </sheetView>
  </sheetViews>
  <sheetFormatPr defaultRowHeight="16.5"/>
  <cols>
    <col min="1" max="1" width="5.25" style="553" customWidth="1"/>
    <col min="2" max="2" width="31.25" style="573" customWidth="1"/>
    <col min="3" max="3" width="8.375" style="553" customWidth="1"/>
    <col min="4" max="4" width="13.125" style="553" customWidth="1"/>
    <col min="5" max="5" width="9.5" style="553" customWidth="1"/>
    <col min="6" max="6" width="3.375" style="553" customWidth="1"/>
    <col min="7" max="7" width="6.375" style="553" customWidth="1"/>
    <col min="8" max="8" width="3.625" style="553" customWidth="1"/>
    <col min="9" max="9" width="9" style="553" customWidth="1"/>
    <col min="10" max="10" width="3.625" style="553" customWidth="1"/>
    <col min="11" max="12" width="5.625" style="553" customWidth="1"/>
    <col min="13" max="14" width="6" style="553" customWidth="1"/>
    <col min="15" max="15" width="6" style="574" customWidth="1"/>
    <col min="16" max="16" width="6" style="553" customWidth="1"/>
    <col min="17" max="18" width="6.375" style="553" customWidth="1"/>
    <col min="19" max="16384" width="9" style="553"/>
  </cols>
  <sheetData>
    <row r="1" spans="1:18" ht="33.75" customHeight="1">
      <c r="A1" s="3704" t="s">
        <v>134</v>
      </c>
      <c r="B1" s="3704"/>
      <c r="C1" s="3704"/>
      <c r="D1" s="3704"/>
      <c r="E1" s="3704"/>
      <c r="F1" s="3704"/>
      <c r="G1" s="3704"/>
      <c r="H1" s="3704"/>
      <c r="I1" s="3704"/>
      <c r="J1" s="3704"/>
      <c r="K1" s="3704"/>
      <c r="L1" s="3704"/>
      <c r="M1" s="3704"/>
      <c r="N1" s="3704"/>
      <c r="O1" s="1209"/>
      <c r="P1" s="1209"/>
      <c r="Q1" s="1209"/>
      <c r="R1" s="1209"/>
    </row>
    <row r="2" spans="1:18" ht="45.75" customHeight="1">
      <c r="A2" s="3705" t="s">
        <v>693</v>
      </c>
      <c r="B2" s="3705"/>
      <c r="C2" s="3705"/>
      <c r="D2" s="3705"/>
      <c r="E2" s="3705"/>
      <c r="F2" s="3705"/>
      <c r="G2" s="3705"/>
      <c r="H2" s="3705"/>
      <c r="I2" s="3705"/>
      <c r="J2" s="3705"/>
      <c r="K2" s="3705"/>
      <c r="L2" s="3705"/>
      <c r="M2" s="3705"/>
      <c r="N2" s="3706"/>
      <c r="O2" s="3454" t="s">
        <v>638</v>
      </c>
      <c r="P2" s="3456"/>
      <c r="Q2" s="3454" t="s">
        <v>17</v>
      </c>
      <c r="R2" s="3456"/>
    </row>
    <row r="3" spans="1:18" ht="31.5" customHeight="1">
      <c r="A3" s="554"/>
      <c r="B3" s="1992" t="str">
        <f>MENU!$AC$9</f>
        <v>Thứ 5,</v>
      </c>
      <c r="C3" s="1815" t="str">
        <f>MENU!$AD$9</f>
        <v>2024/08/01</v>
      </c>
      <c r="D3" s="1994"/>
      <c r="E3" s="554"/>
      <c r="F3" s="554"/>
      <c r="G3" s="554"/>
      <c r="H3" s="555"/>
      <c r="I3" s="555"/>
      <c r="J3" s="555"/>
      <c r="K3" s="555"/>
      <c r="L3" s="555"/>
      <c r="M3" s="555"/>
      <c r="N3" s="555"/>
      <c r="O3" s="3702" t="str">
        <f>'1.xi den'!R3</f>
        <v>L.Yen</v>
      </c>
      <c r="P3" s="3703"/>
      <c r="Q3" s="3702" t="s">
        <v>694</v>
      </c>
      <c r="R3" s="3703"/>
    </row>
    <row r="4" spans="1:18" s="559" customFormat="1" ht="43.5" customHeight="1">
      <c r="A4" s="3711" t="s">
        <v>7</v>
      </c>
      <c r="B4" s="3712" t="s">
        <v>695</v>
      </c>
      <c r="C4" s="3712" t="s">
        <v>18</v>
      </c>
      <c r="D4" s="3713" t="s">
        <v>696</v>
      </c>
      <c r="E4" s="556" t="s">
        <v>697</v>
      </c>
      <c r="F4" s="557"/>
      <c r="G4" s="557"/>
      <c r="H4" s="557"/>
      <c r="I4" s="557"/>
      <c r="J4" s="557"/>
      <c r="K4" s="557"/>
      <c r="L4" s="558"/>
      <c r="M4" s="3627" t="s">
        <v>698</v>
      </c>
      <c r="N4" s="3628"/>
      <c r="O4" s="3628"/>
      <c r="P4" s="3629"/>
      <c r="Q4" s="3721" t="s">
        <v>644</v>
      </c>
      <c r="R4" s="3722"/>
    </row>
    <row r="5" spans="1:18" s="559" customFormat="1" ht="24" customHeight="1">
      <c r="A5" s="3711"/>
      <c r="B5" s="3712"/>
      <c r="C5" s="3712"/>
      <c r="D5" s="3713"/>
      <c r="E5" s="3630">
        <v>0.375</v>
      </c>
      <c r="F5" s="3455"/>
      <c r="G5" s="3455"/>
      <c r="H5" s="3456"/>
      <c r="I5" s="3630">
        <v>0.875</v>
      </c>
      <c r="J5" s="3455"/>
      <c r="K5" s="3455"/>
      <c r="L5" s="3456"/>
      <c r="M5" s="3630">
        <v>0.375</v>
      </c>
      <c r="N5" s="3456"/>
      <c r="O5" s="3631">
        <v>0.875</v>
      </c>
      <c r="P5" s="3629"/>
      <c r="Q5" s="3723"/>
      <c r="R5" s="3724"/>
    </row>
    <row r="6" spans="1:18" s="559" customFormat="1" ht="55.5" customHeight="1">
      <c r="A6" s="3711"/>
      <c r="B6" s="3711"/>
      <c r="C6" s="3711"/>
      <c r="D6" s="3714"/>
      <c r="E6" s="1202" t="s">
        <v>699</v>
      </c>
      <c r="F6" s="3718" t="s">
        <v>700</v>
      </c>
      <c r="G6" s="3719"/>
      <c r="H6" s="3720"/>
      <c r="I6" s="1202" t="s">
        <v>699</v>
      </c>
      <c r="J6" s="3718" t="s">
        <v>700</v>
      </c>
      <c r="K6" s="3719"/>
      <c r="L6" s="3720"/>
      <c r="M6" s="560" t="s">
        <v>701</v>
      </c>
      <c r="N6" s="561" t="s">
        <v>702</v>
      </c>
      <c r="O6" s="560" t="s">
        <v>701</v>
      </c>
      <c r="P6" s="561" t="s">
        <v>702</v>
      </c>
      <c r="Q6" s="3725"/>
      <c r="R6" s="3726"/>
    </row>
    <row r="7" spans="1:18" ht="39.75" customHeight="1">
      <c r="A7" s="1203">
        <v>1</v>
      </c>
      <c r="B7" s="1203" t="s">
        <v>703</v>
      </c>
      <c r="C7" s="1203" t="s">
        <v>4</v>
      </c>
      <c r="D7" s="562" t="s">
        <v>526</v>
      </c>
      <c r="E7" s="34">
        <f>'R.GUI MAIL'!H89</f>
        <v>25.911999999999999</v>
      </c>
      <c r="F7" s="1210" t="s">
        <v>8</v>
      </c>
      <c r="G7" s="1211">
        <f>'R.GUI MAIL'!K89</f>
        <v>0</v>
      </c>
      <c r="H7" s="1212" t="s">
        <v>9</v>
      </c>
      <c r="I7" s="34">
        <f>'R.GUI MAIL'!N89</f>
        <v>29.388000000000002</v>
      </c>
      <c r="J7" s="1210" t="s">
        <v>8</v>
      </c>
      <c r="K7" s="1211">
        <f>'R.GUI MAIL'!Q89</f>
        <v>0</v>
      </c>
      <c r="L7" s="1212" t="s">
        <v>9</v>
      </c>
      <c r="M7" s="563"/>
      <c r="N7" s="564"/>
      <c r="O7" s="563"/>
      <c r="P7" s="564"/>
      <c r="Q7" s="3715" t="s">
        <v>12</v>
      </c>
      <c r="R7" s="3716"/>
    </row>
    <row r="8" spans="1:18" ht="39.75" customHeight="1">
      <c r="A8" s="1203">
        <v>2</v>
      </c>
      <c r="B8" s="1203" t="s">
        <v>704</v>
      </c>
      <c r="C8" s="1203" t="s">
        <v>4</v>
      </c>
      <c r="D8" s="562" t="s">
        <v>526</v>
      </c>
      <c r="E8" s="34">
        <f>'R.GUI MAIL'!H90</f>
        <v>22.751999999999999</v>
      </c>
      <c r="F8" s="1210" t="s">
        <v>8</v>
      </c>
      <c r="G8" s="1211">
        <f>'R.GUI MAIL'!K90</f>
        <v>3.6687360000000018</v>
      </c>
      <c r="H8" s="1212" t="s">
        <v>9</v>
      </c>
      <c r="I8" s="34">
        <f>'R.GUI MAIL'!N90</f>
        <v>24.648000000000003</v>
      </c>
      <c r="J8" s="1210" t="s">
        <v>8</v>
      </c>
      <c r="K8" s="1211">
        <f>'R.GUI MAIL'!Q90</f>
        <v>0.57446399999999476</v>
      </c>
      <c r="L8" s="1212" t="s">
        <v>9</v>
      </c>
      <c r="M8" s="563"/>
      <c r="N8" s="564"/>
      <c r="O8" s="563"/>
      <c r="P8" s="564"/>
      <c r="Q8" s="3715" t="s">
        <v>12</v>
      </c>
      <c r="R8" s="3716"/>
    </row>
    <row r="9" spans="1:18" ht="39.75" customHeight="1">
      <c r="A9" s="1203">
        <v>3</v>
      </c>
      <c r="B9" s="1203" t="s">
        <v>705</v>
      </c>
      <c r="C9" s="1203" t="s">
        <v>54</v>
      </c>
      <c r="D9" s="562" t="s">
        <v>1394</v>
      </c>
      <c r="E9" s="34">
        <f>'R.GUI MAIL'!H91</f>
        <v>241.24</v>
      </c>
      <c r="F9" s="1210" t="s">
        <v>8</v>
      </c>
      <c r="G9" s="1211">
        <f>'R.GUI MAIL'!K91</f>
        <v>14.296319999999985</v>
      </c>
      <c r="H9" s="1212" t="s">
        <v>1157</v>
      </c>
      <c r="I9" s="34">
        <f>'R.GUI MAIL'!N91</f>
        <v>237.98000000000002</v>
      </c>
      <c r="J9" s="1210" t="s">
        <v>8</v>
      </c>
      <c r="K9" s="1211">
        <f>'R.GUI MAIL'!Q91</f>
        <v>19.616639999999972</v>
      </c>
      <c r="L9" s="1212" t="s">
        <v>1147</v>
      </c>
      <c r="M9" s="563"/>
      <c r="N9" s="564"/>
      <c r="O9" s="563"/>
      <c r="P9" s="564"/>
      <c r="Q9" s="3715" t="s">
        <v>16</v>
      </c>
      <c r="R9" s="3716"/>
    </row>
    <row r="10" spans="1:18" ht="39.75" customHeight="1">
      <c r="A10" s="1203">
        <v>4</v>
      </c>
      <c r="B10" s="1204" t="s">
        <v>1148</v>
      </c>
      <c r="C10" s="1203" t="s">
        <v>4</v>
      </c>
      <c r="D10" s="1545" t="s">
        <v>1395</v>
      </c>
      <c r="E10" s="34">
        <f>'R.GUI MAIL'!H92</f>
        <v>123.75</v>
      </c>
      <c r="F10" s="1210" t="s">
        <v>8</v>
      </c>
      <c r="G10" s="1211">
        <f>'R.GUI MAIL'!K92</f>
        <v>10.8</v>
      </c>
      <c r="H10" s="1212" t="s">
        <v>9</v>
      </c>
      <c r="I10" s="34">
        <f>'R.GUI MAIL'!N92</f>
        <v>122.50000000000001</v>
      </c>
      <c r="J10" s="1210" t="s">
        <v>8</v>
      </c>
      <c r="K10" s="1211">
        <f>'R.GUI MAIL'!Q92</f>
        <v>12.959999999999974</v>
      </c>
      <c r="L10" s="1212" t="s">
        <v>9</v>
      </c>
      <c r="M10" s="563"/>
      <c r="N10" s="564"/>
      <c r="O10" s="563"/>
      <c r="P10" s="564"/>
      <c r="Q10" s="3715" t="s">
        <v>706</v>
      </c>
      <c r="R10" s="3716"/>
    </row>
    <row r="11" spans="1:18" ht="39.75" customHeight="1">
      <c r="A11" s="1203">
        <v>5</v>
      </c>
      <c r="B11" s="1204" t="s">
        <v>1149</v>
      </c>
      <c r="C11" s="1203" t="s">
        <v>4</v>
      </c>
      <c r="D11" s="565" t="s">
        <v>536</v>
      </c>
      <c r="E11" s="34">
        <f>'R.GUI MAIL'!H93</f>
        <v>2.1250000000000013</v>
      </c>
      <c r="F11" s="1210" t="s">
        <v>8</v>
      </c>
      <c r="G11" s="1211">
        <f>'R.GUI MAIL'!K93</f>
        <v>0</v>
      </c>
      <c r="H11" s="1212" t="s">
        <v>9</v>
      </c>
      <c r="I11" s="34">
        <f>'R.GUI MAIL'!N93</f>
        <v>2.2500000000000009</v>
      </c>
      <c r="J11" s="1210" t="s">
        <v>8</v>
      </c>
      <c r="K11" s="1211">
        <f>'R.GUI MAIL'!Q93</f>
        <v>0</v>
      </c>
      <c r="L11" s="1212" t="s">
        <v>9</v>
      </c>
      <c r="M11" s="563"/>
      <c r="N11" s="564"/>
      <c r="O11" s="563"/>
      <c r="P11" s="564"/>
      <c r="Q11" s="3715" t="s">
        <v>707</v>
      </c>
      <c r="R11" s="3716"/>
    </row>
    <row r="12" spans="1:18" ht="39.75" customHeight="1">
      <c r="A12" s="1203">
        <v>6</v>
      </c>
      <c r="B12" s="1204" t="s">
        <v>1150</v>
      </c>
      <c r="C12" s="1203" t="s">
        <v>4</v>
      </c>
      <c r="D12" s="1545" t="s">
        <v>1395</v>
      </c>
      <c r="E12" s="34">
        <f>'R.GUI MAIL'!H94</f>
        <v>122.50000000000001</v>
      </c>
      <c r="F12" s="1210" t="s">
        <v>8</v>
      </c>
      <c r="G12" s="1211">
        <f>'R.GUI MAIL'!K94</f>
        <v>12.959999999999974</v>
      </c>
      <c r="H12" s="1212" t="s">
        <v>9</v>
      </c>
      <c r="I12" s="34">
        <f>'R.GUI MAIL'!N94</f>
        <v>123.75</v>
      </c>
      <c r="J12" s="1210" t="s">
        <v>8</v>
      </c>
      <c r="K12" s="1211">
        <f>'R.GUI MAIL'!Q94</f>
        <v>10.8</v>
      </c>
      <c r="L12" s="1212" t="s">
        <v>9</v>
      </c>
      <c r="M12" s="563"/>
      <c r="N12" s="564"/>
      <c r="O12" s="563"/>
      <c r="P12" s="564"/>
      <c r="Q12" s="3715" t="s">
        <v>706</v>
      </c>
      <c r="R12" s="3716"/>
    </row>
    <row r="13" spans="1:18" ht="39.75" customHeight="1">
      <c r="A13" s="1203">
        <v>7</v>
      </c>
      <c r="B13" s="1204" t="s">
        <v>1151</v>
      </c>
      <c r="C13" s="1203" t="s">
        <v>4</v>
      </c>
      <c r="D13" s="565" t="s">
        <v>536</v>
      </c>
      <c r="E13" s="34">
        <f>'R.GUI MAIL'!H95</f>
        <v>2.1250000000000013</v>
      </c>
      <c r="F13" s="1210" t="s">
        <v>8</v>
      </c>
      <c r="G13" s="1211">
        <f>'R.GUI MAIL'!K95</f>
        <v>0</v>
      </c>
      <c r="H13" s="1212" t="s">
        <v>9</v>
      </c>
      <c r="I13" s="34">
        <f>'R.GUI MAIL'!N95</f>
        <v>2.6250000000000009</v>
      </c>
      <c r="J13" s="1210" t="s">
        <v>8</v>
      </c>
      <c r="K13" s="1211">
        <f>'R.GUI MAIL'!Q95</f>
        <v>0</v>
      </c>
      <c r="L13" s="1212" t="s">
        <v>9</v>
      </c>
      <c r="M13" s="563"/>
      <c r="N13" s="564"/>
      <c r="O13" s="563"/>
      <c r="P13" s="564"/>
      <c r="Q13" s="3715" t="s">
        <v>707</v>
      </c>
      <c r="R13" s="3716"/>
    </row>
    <row r="14" spans="1:18" ht="39.75" customHeight="1">
      <c r="A14" s="1203">
        <v>8</v>
      </c>
      <c r="B14" s="1204" t="s">
        <v>927</v>
      </c>
      <c r="C14" s="1203" t="s">
        <v>4</v>
      </c>
      <c r="D14" s="1545" t="s">
        <v>1395</v>
      </c>
      <c r="E14" s="34">
        <f>'R.GUI MAIL'!H96</f>
        <v>122.50000000000001</v>
      </c>
      <c r="F14" s="1210" t="s">
        <v>8</v>
      </c>
      <c r="G14" s="1211">
        <f>'R.GUI MAIL'!K96</f>
        <v>12.959999999999974</v>
      </c>
      <c r="H14" s="1212" t="s">
        <v>9</v>
      </c>
      <c r="I14" s="34">
        <f>'R.GUI MAIL'!N96</f>
        <v>121.24999999999999</v>
      </c>
      <c r="J14" s="1210" t="s">
        <v>8</v>
      </c>
      <c r="K14" s="1211">
        <f>'R.GUI MAIL'!Q96</f>
        <v>15.120000000000026</v>
      </c>
      <c r="L14" s="1212" t="s">
        <v>9</v>
      </c>
      <c r="M14" s="563"/>
      <c r="N14" s="564"/>
      <c r="O14" s="563"/>
      <c r="P14" s="564"/>
      <c r="Q14" s="3715" t="s">
        <v>706</v>
      </c>
      <c r="R14" s="3716"/>
    </row>
    <row r="15" spans="1:18" ht="39.75" customHeight="1">
      <c r="A15" s="1203">
        <v>9</v>
      </c>
      <c r="B15" s="1204" t="s">
        <v>928</v>
      </c>
      <c r="C15" s="1203" t="s">
        <v>4</v>
      </c>
      <c r="D15" s="565" t="s">
        <v>536</v>
      </c>
      <c r="E15" s="34">
        <f>'R.GUI MAIL'!H97</f>
        <v>2.1250000000000013</v>
      </c>
      <c r="F15" s="1210" t="s">
        <v>8</v>
      </c>
      <c r="G15" s="1211">
        <f>'R.GUI MAIL'!K97</f>
        <v>0</v>
      </c>
      <c r="H15" s="1212" t="s">
        <v>9</v>
      </c>
      <c r="I15" s="34">
        <f>'R.GUI MAIL'!N97</f>
        <v>2.1249999999999991</v>
      </c>
      <c r="J15" s="1210" t="s">
        <v>8</v>
      </c>
      <c r="K15" s="1211">
        <f>'R.GUI MAIL'!Q97</f>
        <v>0</v>
      </c>
      <c r="L15" s="1212" t="s">
        <v>9</v>
      </c>
      <c r="M15" s="563"/>
      <c r="N15" s="564"/>
      <c r="O15" s="563"/>
      <c r="P15" s="564"/>
      <c r="Q15" s="3715" t="s">
        <v>707</v>
      </c>
      <c r="R15" s="3716"/>
    </row>
    <row r="16" spans="1:18" ht="39.75" customHeight="1">
      <c r="A16" s="3707">
        <v>10</v>
      </c>
      <c r="B16" s="3709" t="s">
        <v>708</v>
      </c>
      <c r="C16" s="1203" t="s">
        <v>4</v>
      </c>
      <c r="D16" s="562" t="s">
        <v>543</v>
      </c>
      <c r="E16" s="34">
        <f>'R.GUI MAIL'!H98</f>
        <v>8.2160000000000011</v>
      </c>
      <c r="F16" s="1210" t="s">
        <v>8</v>
      </c>
      <c r="G16" s="1211">
        <f>'R.GUI MAIL'!K98</f>
        <v>3.0827519999999979</v>
      </c>
      <c r="H16" s="1212" t="s">
        <v>9</v>
      </c>
      <c r="I16" s="34">
        <f>'R.GUI MAIL'!N98</f>
        <v>8.2160000000000011</v>
      </c>
      <c r="J16" s="1210" t="s">
        <v>8</v>
      </c>
      <c r="K16" s="1211">
        <f>'R.GUI MAIL'!Q98</f>
        <v>3.0827519999999979</v>
      </c>
      <c r="L16" s="1212" t="s">
        <v>9</v>
      </c>
      <c r="M16" s="563"/>
      <c r="N16" s="564"/>
      <c r="O16" s="563"/>
      <c r="P16" s="564"/>
      <c r="Q16" s="3715" t="s">
        <v>709</v>
      </c>
      <c r="R16" s="3716"/>
    </row>
    <row r="17" spans="1:18" ht="33" customHeight="1">
      <c r="A17" s="3708"/>
      <c r="B17" s="3710"/>
      <c r="C17" s="1203" t="s">
        <v>5</v>
      </c>
      <c r="D17" s="562" t="s">
        <v>545</v>
      </c>
      <c r="E17" s="608">
        <f>'R.GUI MAIL'!H99</f>
        <v>6.4</v>
      </c>
      <c r="F17" s="1213"/>
      <c r="G17" s="1213"/>
      <c r="H17" s="1213"/>
      <c r="I17" s="608">
        <f>'R.GUI MAIL'!N99</f>
        <v>6.1</v>
      </c>
      <c r="J17" s="1214"/>
      <c r="K17" s="1214"/>
      <c r="L17" s="1215"/>
      <c r="M17" s="563"/>
      <c r="N17" s="564"/>
      <c r="O17" s="563"/>
      <c r="P17" s="564"/>
      <c r="Q17" s="3717"/>
      <c r="R17" s="3716"/>
    </row>
    <row r="18" spans="1:18" ht="31.5" hidden="1" customHeight="1">
      <c r="A18" s="1203">
        <v>11</v>
      </c>
      <c r="B18" s="566" t="s">
        <v>710</v>
      </c>
      <c r="C18" s="1205" t="s">
        <v>5</v>
      </c>
      <c r="D18" s="1552" t="s">
        <v>1397</v>
      </c>
      <c r="E18" s="1547">
        <f>'R.GUI MAIL'!H100</f>
        <v>0</v>
      </c>
      <c r="F18" s="1548"/>
      <c r="G18" s="1548"/>
      <c r="H18" s="1548"/>
      <c r="I18" s="1547">
        <f>'R.GUI MAIL'!N100</f>
        <v>0</v>
      </c>
      <c r="J18" s="1214"/>
      <c r="K18" s="1214"/>
      <c r="L18" s="1215"/>
      <c r="M18" s="563"/>
      <c r="N18" s="564"/>
      <c r="O18" s="567"/>
      <c r="P18" s="564"/>
      <c r="Q18" s="3727"/>
      <c r="R18" s="3728"/>
    </row>
    <row r="19" spans="1:18" ht="31.5" hidden="1" customHeight="1">
      <c r="A19" s="1203">
        <v>12</v>
      </c>
      <c r="B19" s="568" t="s">
        <v>711</v>
      </c>
      <c r="C19" s="1205" t="s">
        <v>5</v>
      </c>
      <c r="D19" s="1552" t="s">
        <v>1397</v>
      </c>
      <c r="E19" s="1547">
        <f>'R.GUI MAIL'!H101</f>
        <v>0</v>
      </c>
      <c r="F19" s="1548"/>
      <c r="G19" s="1548"/>
      <c r="H19" s="1548"/>
      <c r="I19" s="1547">
        <f>'R.GUI MAIL'!N101</f>
        <v>0</v>
      </c>
      <c r="J19" s="1216"/>
      <c r="K19" s="1216"/>
      <c r="L19" s="1217"/>
      <c r="M19" s="563"/>
      <c r="N19" s="564"/>
      <c r="O19" s="567"/>
      <c r="P19" s="564"/>
      <c r="Q19" s="3727"/>
      <c r="R19" s="3728"/>
    </row>
    <row r="20" spans="1:18" ht="32.25" customHeight="1">
      <c r="A20" s="1203">
        <v>13</v>
      </c>
      <c r="B20" s="566" t="s">
        <v>712</v>
      </c>
      <c r="C20" s="1205" t="s">
        <v>5</v>
      </c>
      <c r="D20" s="1552" t="s">
        <v>1397</v>
      </c>
      <c r="E20" s="1547">
        <f>'R.GUI MAIL'!H102</f>
        <v>5.5</v>
      </c>
      <c r="F20" s="1548"/>
      <c r="G20" s="1548"/>
      <c r="H20" s="1548"/>
      <c r="I20" s="1547">
        <f>'R.GUI MAIL'!N102</f>
        <v>5.6</v>
      </c>
      <c r="J20" s="1216"/>
      <c r="K20" s="1216"/>
      <c r="L20" s="1217"/>
      <c r="M20" s="563"/>
      <c r="N20" s="564"/>
      <c r="O20" s="567"/>
      <c r="P20" s="564"/>
      <c r="Q20" s="3727"/>
      <c r="R20" s="3728"/>
    </row>
    <row r="21" spans="1:18" ht="31.5" customHeight="1">
      <c r="A21" s="1203"/>
      <c r="B21" s="569" t="s">
        <v>136</v>
      </c>
      <c r="C21" s="570"/>
      <c r="D21" s="570"/>
      <c r="E21" s="570"/>
      <c r="F21" s="570"/>
      <c r="G21" s="570"/>
      <c r="H21" s="570"/>
      <c r="I21" s="570"/>
      <c r="J21" s="570"/>
      <c r="K21" s="570"/>
      <c r="L21" s="570"/>
      <c r="M21" s="570"/>
      <c r="N21" s="570"/>
      <c r="O21" s="570"/>
      <c r="P21" s="570"/>
      <c r="Q21" s="570"/>
      <c r="R21" s="571"/>
    </row>
    <row r="22" spans="1:18" ht="43.5" customHeight="1">
      <c r="A22" s="3707" t="s">
        <v>7</v>
      </c>
      <c r="B22" s="3729" t="s">
        <v>21</v>
      </c>
      <c r="C22" s="3729" t="s">
        <v>22</v>
      </c>
      <c r="D22" s="3729" t="s">
        <v>23</v>
      </c>
      <c r="E22" s="3712" t="s">
        <v>45</v>
      </c>
      <c r="F22" s="3712"/>
      <c r="G22" s="3731" t="s">
        <v>61</v>
      </c>
      <c r="H22" s="3731"/>
      <c r="I22" s="3712" t="s">
        <v>45</v>
      </c>
      <c r="J22" s="3712"/>
      <c r="K22" s="3731" t="s">
        <v>61</v>
      </c>
      <c r="L22" s="3731"/>
      <c r="M22" s="3732"/>
      <c r="N22" s="3732"/>
      <c r="O22" s="3729"/>
      <c r="P22" s="3732"/>
      <c r="Q22" s="3736"/>
      <c r="R22" s="3737"/>
    </row>
    <row r="23" spans="1:18" ht="22.5" customHeight="1">
      <c r="A23" s="3708"/>
      <c r="B23" s="3730"/>
      <c r="C23" s="3730"/>
      <c r="D23" s="3730"/>
      <c r="E23" s="3630">
        <v>0.375</v>
      </c>
      <c r="F23" s="3455"/>
      <c r="G23" s="3455"/>
      <c r="H23" s="3456"/>
      <c r="I23" s="3630">
        <v>0.875</v>
      </c>
      <c r="J23" s="3455"/>
      <c r="K23" s="3455"/>
      <c r="L23" s="3456"/>
      <c r="M23" s="3733"/>
      <c r="N23" s="3733"/>
      <c r="O23" s="3730"/>
      <c r="P23" s="3733"/>
      <c r="Q23" s="3738"/>
      <c r="R23" s="3739"/>
    </row>
    <row r="24" spans="1:18" ht="36.75" customHeight="1">
      <c r="A24" s="1203">
        <v>1</v>
      </c>
      <c r="B24" s="1203" t="s">
        <v>703</v>
      </c>
      <c r="C24" s="572" t="s">
        <v>26</v>
      </c>
      <c r="D24" s="1546" t="s">
        <v>1399</v>
      </c>
      <c r="E24" s="3295">
        <f>'R.GUI MAIL'!H105</f>
        <v>61</v>
      </c>
      <c r="F24" s="3357"/>
      <c r="G24" s="3295">
        <f>'R.GUI MAIL'!K105</f>
        <v>62</v>
      </c>
      <c r="H24" s="3357"/>
      <c r="I24" s="3295">
        <f>'R.GUI MAIL'!N105</f>
        <v>59</v>
      </c>
      <c r="J24" s="3357"/>
      <c r="K24" s="3283">
        <f>'R.GUI MAIL'!Q105</f>
        <v>62</v>
      </c>
      <c r="L24" s="3283"/>
      <c r="M24" s="1198"/>
      <c r="N24" s="1198"/>
      <c r="O24" s="3734"/>
      <c r="P24" s="3735"/>
      <c r="Q24" s="3727"/>
      <c r="R24" s="3728"/>
    </row>
    <row r="25" spans="1:18" ht="36.75" customHeight="1">
      <c r="A25" s="1203">
        <v>2</v>
      </c>
      <c r="B25" s="1203" t="s">
        <v>704</v>
      </c>
      <c r="C25" s="572" t="s">
        <v>26</v>
      </c>
      <c r="D25" s="1546" t="s">
        <v>1399</v>
      </c>
      <c r="E25" s="3295">
        <f>'R.GUI MAIL'!H106</f>
        <v>60</v>
      </c>
      <c r="F25" s="3357"/>
      <c r="G25" s="3295">
        <f>'R.GUI MAIL'!K106</f>
        <v>63</v>
      </c>
      <c r="H25" s="3357"/>
      <c r="I25" s="3295">
        <f>'R.GUI MAIL'!N106</f>
        <v>55</v>
      </c>
      <c r="J25" s="3357"/>
      <c r="K25" s="3283">
        <f>'R.GUI MAIL'!Q106</f>
        <v>62</v>
      </c>
      <c r="L25" s="3283"/>
      <c r="M25" s="1198"/>
      <c r="N25" s="1198"/>
      <c r="O25" s="3734"/>
      <c r="P25" s="3735"/>
      <c r="Q25" s="3727"/>
      <c r="R25" s="3728"/>
    </row>
    <row r="26" spans="1:18" ht="36.75" customHeight="1">
      <c r="A26" s="1203">
        <v>3</v>
      </c>
      <c r="B26" s="1204" t="s">
        <v>1154</v>
      </c>
      <c r="C26" s="572" t="s">
        <v>26</v>
      </c>
      <c r="D26" s="1546" t="s">
        <v>1400</v>
      </c>
      <c r="E26" s="3295">
        <f>'R.GUI MAIL'!H107</f>
        <v>23</v>
      </c>
      <c r="F26" s="3357"/>
      <c r="G26" s="3295">
        <f>'R.GUI MAIL'!K107</f>
        <v>19</v>
      </c>
      <c r="H26" s="3357"/>
      <c r="I26" s="3295">
        <f>'R.GUI MAIL'!N107</f>
        <v>23</v>
      </c>
      <c r="J26" s="3357"/>
      <c r="K26" s="3283">
        <f>'R.GUI MAIL'!Q107</f>
        <v>19</v>
      </c>
      <c r="L26" s="3283"/>
      <c r="M26" s="1198"/>
      <c r="N26" s="1198"/>
      <c r="O26" s="3734"/>
      <c r="P26" s="3735"/>
      <c r="Q26" s="3727"/>
      <c r="R26" s="3728"/>
    </row>
    <row r="27" spans="1:18" ht="36.75" customHeight="1">
      <c r="A27" s="1203">
        <v>4</v>
      </c>
      <c r="B27" s="1204" t="s">
        <v>1155</v>
      </c>
      <c r="C27" s="572" t="s">
        <v>26</v>
      </c>
      <c r="D27" s="1546" t="s">
        <v>1400</v>
      </c>
      <c r="E27" s="3295">
        <f>'R.GUI MAIL'!H108</f>
        <v>23</v>
      </c>
      <c r="F27" s="3357"/>
      <c r="G27" s="3295">
        <f>'R.GUI MAIL'!K108</f>
        <v>19</v>
      </c>
      <c r="H27" s="3357"/>
      <c r="I27" s="3295">
        <f>'R.GUI MAIL'!N108</f>
        <v>23</v>
      </c>
      <c r="J27" s="3357"/>
      <c r="K27" s="3283">
        <f>'R.GUI MAIL'!Q108</f>
        <v>18</v>
      </c>
      <c r="L27" s="3283"/>
      <c r="M27" s="1198"/>
      <c r="N27" s="1198"/>
      <c r="O27" s="3734"/>
      <c r="P27" s="3735"/>
      <c r="Q27" s="3727"/>
      <c r="R27" s="3728"/>
    </row>
    <row r="28" spans="1:18" ht="36.75" customHeight="1">
      <c r="A28" s="1203">
        <v>5</v>
      </c>
      <c r="B28" s="1204" t="s">
        <v>1156</v>
      </c>
      <c r="C28" s="572" t="s">
        <v>26</v>
      </c>
      <c r="D28" s="1546" t="s">
        <v>1400</v>
      </c>
      <c r="E28" s="3295">
        <f>'R.GUI MAIL'!H109</f>
        <v>22</v>
      </c>
      <c r="F28" s="3357"/>
      <c r="G28" s="3295">
        <f>'R.GUI MAIL'!K109</f>
        <v>18</v>
      </c>
      <c r="H28" s="3357"/>
      <c r="I28" s="3295">
        <f>'R.GUI MAIL'!N109</f>
        <v>22</v>
      </c>
      <c r="J28" s="3357"/>
      <c r="K28" s="3283">
        <f>'R.GUI MAIL'!Q109</f>
        <v>18</v>
      </c>
      <c r="L28" s="3283"/>
      <c r="M28" s="1198"/>
      <c r="N28" s="1198"/>
      <c r="O28" s="3734"/>
      <c r="P28" s="3735"/>
      <c r="Q28" s="3727"/>
      <c r="R28" s="3728"/>
    </row>
    <row r="29" spans="1:18" ht="36.75" customHeight="1">
      <c r="A29" s="1203">
        <v>6</v>
      </c>
      <c r="B29" s="1204" t="s">
        <v>713</v>
      </c>
      <c r="C29" s="572" t="s">
        <v>26</v>
      </c>
      <c r="D29" s="1546" t="s">
        <v>1563</v>
      </c>
      <c r="E29" s="3283">
        <f>'R.GUI MAIL'!H110</f>
        <v>30</v>
      </c>
      <c r="F29" s="3283"/>
      <c r="G29" s="3283">
        <f>'R.GUI MAIL'!K110</f>
        <v>29</v>
      </c>
      <c r="H29" s="3283"/>
      <c r="I29" s="3283">
        <f>'R.GUI MAIL'!N110</f>
        <v>30</v>
      </c>
      <c r="J29" s="3283"/>
      <c r="K29" s="3283">
        <f>'R.GUI MAIL'!Q110</f>
        <v>29</v>
      </c>
      <c r="L29" s="3283"/>
      <c r="M29" s="1198"/>
      <c r="N29" s="1198"/>
      <c r="O29" s="3734"/>
      <c r="P29" s="3735"/>
      <c r="Q29" s="3727"/>
      <c r="R29" s="3728"/>
    </row>
    <row r="30" spans="1:18" ht="38.25" hidden="1" customHeight="1">
      <c r="A30" s="1203">
        <v>7</v>
      </c>
      <c r="B30" s="566" t="s">
        <v>710</v>
      </c>
      <c r="C30" s="572" t="s">
        <v>26</v>
      </c>
      <c r="D30" s="1546" t="s">
        <v>1441</v>
      </c>
      <c r="E30" s="3283">
        <f>'R.GUI MAIL'!H111</f>
        <v>0</v>
      </c>
      <c r="F30" s="3283"/>
      <c r="G30" s="3283">
        <f>'R.GUI MAIL'!K111</f>
        <v>0</v>
      </c>
      <c r="H30" s="3283"/>
      <c r="I30" s="3283">
        <f>'R.GUI MAIL'!N111</f>
        <v>0</v>
      </c>
      <c r="J30" s="3283"/>
      <c r="K30" s="3283">
        <f>'R.GUI MAIL'!Q111</f>
        <v>0</v>
      </c>
      <c r="L30" s="3283"/>
      <c r="M30" s="1198"/>
      <c r="N30" s="1198"/>
      <c r="O30" s="3740"/>
      <c r="P30" s="3741"/>
      <c r="Q30" s="3727"/>
      <c r="R30" s="3728"/>
    </row>
    <row r="31" spans="1:18" ht="36.75" hidden="1" customHeight="1">
      <c r="A31" s="1203">
        <v>8</v>
      </c>
      <c r="B31" s="568" t="s">
        <v>711</v>
      </c>
      <c r="C31" s="572" t="s">
        <v>26</v>
      </c>
      <c r="D31" s="1546" t="s">
        <v>1442</v>
      </c>
      <c r="E31" s="3283">
        <f>'R.GUI MAIL'!H112</f>
        <v>0</v>
      </c>
      <c r="F31" s="3283"/>
      <c r="G31" s="3283">
        <f>'R.GUI MAIL'!K112</f>
        <v>0</v>
      </c>
      <c r="H31" s="3283"/>
      <c r="I31" s="3283">
        <f>'R.GUI MAIL'!N112</f>
        <v>0</v>
      </c>
      <c r="J31" s="3283"/>
      <c r="K31" s="3283">
        <f>'R.GUI MAIL'!Q112</f>
        <v>0</v>
      </c>
      <c r="L31" s="3283"/>
      <c r="M31" s="1198"/>
      <c r="N31" s="1198"/>
      <c r="O31" s="3740"/>
      <c r="P31" s="3741"/>
      <c r="Q31" s="3727"/>
      <c r="R31" s="3728"/>
    </row>
    <row r="32" spans="1:18" ht="36.75" customHeight="1">
      <c r="A32" s="1203">
        <v>9</v>
      </c>
      <c r="B32" s="566" t="s">
        <v>712</v>
      </c>
      <c r="C32" s="572" t="s">
        <v>26</v>
      </c>
      <c r="D32" s="1546" t="s">
        <v>1441</v>
      </c>
      <c r="E32" s="3283">
        <f>'R.GUI MAIL'!H113</f>
        <v>65</v>
      </c>
      <c r="F32" s="3283"/>
      <c r="G32" s="3283">
        <f>'R.GUI MAIL'!K113</f>
        <v>61</v>
      </c>
      <c r="H32" s="3283"/>
      <c r="I32" s="3283">
        <f>'R.GUI MAIL'!N113</f>
        <v>64</v>
      </c>
      <c r="J32" s="3283"/>
      <c r="K32" s="3283">
        <f>'R.GUI MAIL'!Q113</f>
        <v>61</v>
      </c>
      <c r="L32" s="3283"/>
      <c r="M32" s="1198"/>
      <c r="N32" s="1198"/>
      <c r="O32" s="3740"/>
      <c r="P32" s="3741"/>
      <c r="Q32" s="3727"/>
      <c r="R32" s="3728"/>
    </row>
    <row r="33" spans="1:18" ht="36.75" customHeight="1">
      <c r="A33" s="1203">
        <v>11</v>
      </c>
      <c r="B33" s="1204" t="s">
        <v>714</v>
      </c>
      <c r="C33" s="572" t="s">
        <v>26</v>
      </c>
      <c r="D33" s="1546" t="s">
        <v>1401</v>
      </c>
      <c r="E33" s="3700" t="s">
        <v>1158</v>
      </c>
      <c r="F33" s="3701"/>
      <c r="G33" s="3295">
        <f>'R.GUI MAIL'!K114</f>
        <v>104</v>
      </c>
      <c r="H33" s="3357"/>
      <c r="I33" s="3700" t="s">
        <v>1158</v>
      </c>
      <c r="J33" s="3701"/>
      <c r="K33" s="3283">
        <f>'R.GUI MAIL'!Q114</f>
        <v>114</v>
      </c>
      <c r="L33" s="3283"/>
      <c r="M33" s="1198"/>
      <c r="N33" s="1198"/>
      <c r="O33" s="3740"/>
      <c r="P33" s="3741"/>
      <c r="Q33" s="3727"/>
      <c r="R33" s="3728"/>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7" type="noConversion"/>
  <conditionalFormatting sqref="E7:E8 I7:I8">
    <cfRule type="expression" dxfId="472" priority="131">
      <formula>E7&lt;20</formula>
    </cfRule>
    <cfRule type="expression" dxfId="471" priority="132">
      <formula>E7&gt;30</formula>
    </cfRule>
  </conditionalFormatting>
  <conditionalFormatting sqref="E9 I9">
    <cfRule type="expression" dxfId="470" priority="129">
      <formula>E9&lt;210</formula>
    </cfRule>
    <cfRule type="expression" dxfId="469" priority="130">
      <formula>E9&gt;290</formula>
    </cfRule>
  </conditionalFormatting>
  <conditionalFormatting sqref="E10 E12 E14 I10 I12 I14">
    <cfRule type="expression" dxfId="468" priority="127">
      <formula>E10&lt;120</formula>
    </cfRule>
    <cfRule type="expression" dxfId="467" priority="128">
      <formula>E10&gt;150</formula>
    </cfRule>
  </conditionalFormatting>
  <conditionalFormatting sqref="E11 E13 E15 I11 I13 I15">
    <cfRule type="expression" dxfId="466" priority="125">
      <formula>E11&lt;1</formula>
    </cfRule>
    <cfRule type="expression" dxfId="465" priority="126">
      <formula>E11&gt;5</formula>
    </cfRule>
  </conditionalFormatting>
  <conditionalFormatting sqref="E16 I16">
    <cfRule type="expression" dxfId="464" priority="123">
      <formula>E16&lt;8</formula>
    </cfRule>
    <cfRule type="expression" dxfId="463" priority="124">
      <formula>E16&gt;12</formula>
    </cfRule>
  </conditionalFormatting>
  <conditionalFormatting sqref="E17">
    <cfRule type="expression" dxfId="462" priority="121">
      <formula>E17&lt;6</formula>
    </cfRule>
    <cfRule type="expression" dxfId="461" priority="122">
      <formula>E17&gt;8</formula>
    </cfRule>
  </conditionalFormatting>
  <conditionalFormatting sqref="I17">
    <cfRule type="expression" dxfId="460" priority="117">
      <formula>I17&lt;6</formula>
    </cfRule>
    <cfRule type="expression" dxfId="459" priority="118">
      <formula>I17&gt;8</formula>
    </cfRule>
  </conditionalFormatting>
  <conditionalFormatting sqref="E24">
    <cfRule type="expression" dxfId="458" priority="113">
      <formula>E24&lt;45</formula>
    </cfRule>
    <cfRule type="expression" dxfId="457" priority="114">
      <formula>E24&gt;65</formula>
    </cfRule>
  </conditionalFormatting>
  <conditionalFormatting sqref="E25">
    <cfRule type="expression" dxfId="456" priority="111">
      <formula>E25&lt;45</formula>
    </cfRule>
    <cfRule type="expression" dxfId="455" priority="112">
      <formula>E25&gt;65</formula>
    </cfRule>
  </conditionalFormatting>
  <conditionalFormatting sqref="G33">
    <cfRule type="expression" dxfId="454" priority="105">
      <formula>G33&lt;100</formula>
    </cfRule>
    <cfRule type="expression" dxfId="453" priority="106">
      <formula>G33&gt;110</formula>
    </cfRule>
  </conditionalFormatting>
  <conditionalFormatting sqref="G24">
    <cfRule type="expression" dxfId="452" priority="103">
      <formula>G24&lt;45</formula>
    </cfRule>
    <cfRule type="expression" dxfId="451" priority="104">
      <formula>G24&gt;65</formula>
    </cfRule>
  </conditionalFormatting>
  <conditionalFormatting sqref="G25">
    <cfRule type="expression" dxfId="450" priority="101">
      <formula>G25&lt;45</formula>
    </cfRule>
    <cfRule type="expression" dxfId="449" priority="102">
      <formula>G25&gt;65</formula>
    </cfRule>
  </conditionalFormatting>
  <conditionalFormatting sqref="I24">
    <cfRule type="expression" dxfId="448" priority="95">
      <formula>I24&lt;45</formula>
    </cfRule>
    <cfRule type="expression" dxfId="447" priority="96">
      <formula>I24&gt;65</formula>
    </cfRule>
  </conditionalFormatting>
  <conditionalFormatting sqref="I25">
    <cfRule type="expression" dxfId="446" priority="93">
      <formula>I25&lt;45</formula>
    </cfRule>
    <cfRule type="expression" dxfId="445" priority="94">
      <formula>I25&gt;65</formula>
    </cfRule>
  </conditionalFormatting>
  <conditionalFormatting sqref="K33">
    <cfRule type="expression" dxfId="444" priority="87">
      <formula>K33&lt;100</formula>
    </cfRule>
    <cfRule type="expression" dxfId="443" priority="88">
      <formula>K33&gt;110</formula>
    </cfRule>
  </conditionalFormatting>
  <conditionalFormatting sqref="K24">
    <cfRule type="expression" dxfId="442" priority="85">
      <formula>K24&lt;45</formula>
    </cfRule>
    <cfRule type="expression" dxfId="441" priority="86">
      <formula>K24&gt;65</formula>
    </cfRule>
  </conditionalFormatting>
  <conditionalFormatting sqref="K25">
    <cfRule type="expression" dxfId="440" priority="83">
      <formula>K25&lt;45</formula>
    </cfRule>
    <cfRule type="expression" dxfId="439" priority="84">
      <formula>K25&gt;65</formula>
    </cfRule>
  </conditionalFormatting>
  <conditionalFormatting sqref="E26">
    <cfRule type="expression" dxfId="438" priority="77">
      <formula>E26&lt;18</formula>
    </cfRule>
    <cfRule type="expression" dxfId="437" priority="78">
      <formula>E26&gt;25</formula>
    </cfRule>
  </conditionalFormatting>
  <conditionalFormatting sqref="E27:E28">
    <cfRule type="expression" dxfId="436" priority="75">
      <formula>E27&lt;18</formula>
    </cfRule>
    <cfRule type="expression" dxfId="435" priority="76">
      <formula>E27&gt;25</formula>
    </cfRule>
  </conditionalFormatting>
  <conditionalFormatting sqref="G26:G28 I26:I28 K26:K28">
    <cfRule type="expression" dxfId="434" priority="73">
      <formula>G26&lt;18</formula>
    </cfRule>
    <cfRule type="expression" dxfId="433" priority="74">
      <formula>G26&gt;25</formula>
    </cfRule>
  </conditionalFormatting>
  <conditionalFormatting sqref="E18">
    <cfRule type="expression" dxfId="432" priority="55">
      <formula>E18&lt;5.5</formula>
    </cfRule>
    <cfRule type="expression" dxfId="431" priority="56">
      <formula>E18&gt;6</formula>
    </cfRule>
  </conditionalFormatting>
  <conditionalFormatting sqref="E19:E20">
    <cfRule type="expression" dxfId="430" priority="53">
      <formula>E19&lt;5.5</formula>
    </cfRule>
    <cfRule type="expression" dxfId="429" priority="54">
      <formula>E19&gt;6</formula>
    </cfRule>
  </conditionalFormatting>
  <conditionalFormatting sqref="I18">
    <cfRule type="expression" dxfId="428" priority="51">
      <formula>I18&lt;5.5</formula>
    </cfRule>
    <cfRule type="expression" dxfId="427" priority="52">
      <formula>I18&gt;6</formula>
    </cfRule>
  </conditionalFormatting>
  <conditionalFormatting sqref="I19:I20">
    <cfRule type="expression" dxfId="426" priority="49">
      <formula>I19&lt;5.5</formula>
    </cfRule>
    <cfRule type="expression" dxfId="425" priority="50">
      <formula>I19&gt;6</formula>
    </cfRule>
  </conditionalFormatting>
  <conditionalFormatting sqref="E30">
    <cfRule type="expression" dxfId="424" priority="45">
      <formula>E30&lt;55</formula>
    </cfRule>
    <cfRule type="expression" dxfId="423" priority="46">
      <formula>E30&gt;65</formula>
    </cfRule>
  </conditionalFormatting>
  <conditionalFormatting sqref="E32">
    <cfRule type="expression" dxfId="422" priority="43">
      <formula>E32&lt;55</formula>
    </cfRule>
    <cfRule type="expression" dxfId="421" priority="44">
      <formula>E32&gt;65</formula>
    </cfRule>
  </conditionalFormatting>
  <conditionalFormatting sqref="E31">
    <cfRule type="expression" dxfId="420" priority="41">
      <formula>E31&lt;42</formula>
    </cfRule>
    <cfRule type="expression" dxfId="419" priority="42">
      <formula>E31&gt;47</formula>
    </cfRule>
  </conditionalFormatting>
  <conditionalFormatting sqref="G30">
    <cfRule type="expression" dxfId="418" priority="37">
      <formula>G30&lt;55</formula>
    </cfRule>
    <cfRule type="expression" dxfId="417" priority="38">
      <formula>G30&gt;65</formula>
    </cfRule>
  </conditionalFormatting>
  <conditionalFormatting sqref="G32">
    <cfRule type="expression" dxfId="416" priority="35">
      <formula>G32&lt;55</formula>
    </cfRule>
    <cfRule type="expression" dxfId="415" priority="36">
      <formula>G32&gt;65</formula>
    </cfRule>
  </conditionalFormatting>
  <conditionalFormatting sqref="G31">
    <cfRule type="expression" dxfId="414" priority="33">
      <formula>G31&lt;42</formula>
    </cfRule>
    <cfRule type="expression" dxfId="413" priority="34">
      <formula>G31&gt;47</formula>
    </cfRule>
  </conditionalFormatting>
  <conditionalFormatting sqref="I30">
    <cfRule type="expression" dxfId="412" priority="29">
      <formula>I30&lt;55</formula>
    </cfRule>
    <cfRule type="expression" dxfId="411" priority="30">
      <formula>I30&gt;65</formula>
    </cfRule>
  </conditionalFormatting>
  <conditionalFormatting sqref="I32">
    <cfRule type="expression" dxfId="410" priority="27">
      <formula>I32&lt;55</formula>
    </cfRule>
    <cfRule type="expression" dxfId="409" priority="28">
      <formula>I32&gt;65</formula>
    </cfRule>
  </conditionalFormatting>
  <conditionalFormatting sqref="I31">
    <cfRule type="expression" dxfId="408" priority="25">
      <formula>I31&lt;42</formula>
    </cfRule>
    <cfRule type="expression" dxfId="407" priority="26">
      <formula>I31&gt;47</formula>
    </cfRule>
  </conditionalFormatting>
  <conditionalFormatting sqref="K30">
    <cfRule type="expression" dxfId="406" priority="21">
      <formula>K30&lt;55</formula>
    </cfRule>
    <cfRule type="expression" dxfId="405" priority="22">
      <formula>K30&gt;65</formula>
    </cfRule>
  </conditionalFormatting>
  <conditionalFormatting sqref="K32">
    <cfRule type="expression" dxfId="404" priority="19">
      <formula>K32&lt;55</formula>
    </cfRule>
    <cfRule type="expression" dxfId="403" priority="20">
      <formula>K32&gt;65</formula>
    </cfRule>
  </conditionalFormatting>
  <conditionalFormatting sqref="K31">
    <cfRule type="expression" dxfId="402" priority="17">
      <formula>K31&lt;42</formula>
    </cfRule>
    <cfRule type="expression" dxfId="401" priority="18">
      <formula>K31&gt;47</formula>
    </cfRule>
  </conditionalFormatting>
  <conditionalFormatting sqref="E29">
    <cfRule type="expression" dxfId="400" priority="7">
      <formula>E29&lt;45</formula>
    </cfRule>
    <cfRule type="expression" dxfId="399" priority="8">
      <formula>E29&gt;60</formula>
    </cfRule>
  </conditionalFormatting>
  <conditionalFormatting sqref="G29">
    <cfRule type="expression" dxfId="398" priority="5">
      <formula>G29&lt;45</formula>
    </cfRule>
    <cfRule type="expression" dxfId="397" priority="6">
      <formula>G29&gt;60</formula>
    </cfRule>
  </conditionalFormatting>
  <conditionalFormatting sqref="I29">
    <cfRule type="expression" dxfId="396" priority="3">
      <formula>I29&lt;45</formula>
    </cfRule>
    <cfRule type="expression" dxfId="395" priority="4">
      <formula>I29&gt;60</formula>
    </cfRule>
  </conditionalFormatting>
  <conditionalFormatting sqref="K29">
    <cfRule type="expression" dxfId="394" priority="1">
      <formula>K29&lt;45</formula>
    </cfRule>
    <cfRule type="expression" dxfId="393"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2">
    <tabColor rgb="FFC00000"/>
  </sheetPr>
  <dimension ref="A1:AQ114"/>
  <sheetViews>
    <sheetView showGridLines="0" zoomScale="55" zoomScaleNormal="55" workbookViewId="0">
      <pane xSplit="7" ySplit="2" topLeftCell="H50" activePane="bottomRight" state="frozen"/>
      <selection pane="topRight" activeCell="H1" sqref="H1"/>
      <selection pane="bottomLeft" activeCell="A3" sqref="A3"/>
      <selection pane="bottomRight" activeCell="Z61" sqref="Z61"/>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8.8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5.625" style="306"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06" customWidth="1"/>
    <col min="43" max="43" width="13.875" style="12" hidden="1" customWidth="1"/>
    <col min="44" max="44" width="6.5" style="12" customWidth="1"/>
    <col min="45" max="16384" width="9" style="12"/>
  </cols>
  <sheetData>
    <row r="1" spans="1:43" ht="39.75" customHeight="1">
      <c r="A1" s="396" t="s">
        <v>1500</v>
      </c>
      <c r="B1" s="397"/>
      <c r="C1" s="397"/>
      <c r="D1" s="397"/>
      <c r="E1" s="397"/>
      <c r="F1" s="397"/>
      <c r="G1" s="397"/>
      <c r="H1" s="397"/>
      <c r="I1" s="397"/>
      <c r="J1" s="397"/>
      <c r="K1" s="397"/>
      <c r="L1" s="397"/>
      <c r="M1" s="397"/>
      <c r="N1" s="397"/>
      <c r="O1" s="397"/>
      <c r="P1" s="397"/>
      <c r="Q1" s="397"/>
      <c r="R1" s="397"/>
      <c r="S1" s="397"/>
      <c r="T1" s="397"/>
      <c r="U1" s="397"/>
      <c r="V1" s="397"/>
      <c r="W1" s="397"/>
      <c r="X1" s="397"/>
      <c r="Y1" s="397"/>
      <c r="Z1" s="397"/>
      <c r="AA1" s="397"/>
      <c r="AB1" s="397"/>
      <c r="AC1" s="397"/>
      <c r="AD1" s="397"/>
      <c r="AE1" s="397"/>
      <c r="AF1" s="397"/>
      <c r="AH1" s="766"/>
      <c r="AI1" s="1952"/>
      <c r="AJ1" s="766" t="s">
        <v>172</v>
      </c>
      <c r="AK1" s="766" t="s">
        <v>172</v>
      </c>
      <c r="AL1" s="398"/>
      <c r="AM1" s="398"/>
      <c r="AN1" s="398"/>
      <c r="AO1" s="398"/>
      <c r="AP1" s="398"/>
      <c r="AQ1" s="398"/>
    </row>
    <row r="2" spans="1:43" ht="34.5" customHeight="1">
      <c r="A2" s="1990" t="str">
        <f>MENU!$AC$9</f>
        <v>Thứ 5,</v>
      </c>
      <c r="B2" s="1984" t="str">
        <f>MENU!$AD$9</f>
        <v>2024/08/01</v>
      </c>
      <c r="C2" s="397"/>
      <c r="D2" s="397"/>
      <c r="E2" s="397"/>
      <c r="F2" s="397"/>
      <c r="G2" s="397"/>
      <c r="H2" s="397"/>
      <c r="I2" s="397"/>
      <c r="J2" s="397"/>
      <c r="K2" s="397"/>
      <c r="L2" s="397"/>
      <c r="M2" s="397"/>
      <c r="N2" s="397"/>
      <c r="O2" s="397"/>
      <c r="P2" s="397"/>
      <c r="Q2" s="397"/>
      <c r="R2" s="397"/>
      <c r="S2" s="397"/>
      <c r="T2" s="397"/>
      <c r="U2" s="397"/>
      <c r="V2" s="397"/>
      <c r="W2" s="397"/>
      <c r="X2" s="397"/>
      <c r="Y2" s="397"/>
      <c r="Z2" s="397"/>
      <c r="AA2" s="397"/>
      <c r="AB2" s="397"/>
      <c r="AC2" s="397"/>
      <c r="AD2" s="397"/>
      <c r="AE2" s="397"/>
      <c r="AF2" s="397"/>
      <c r="AH2" s="766"/>
      <c r="AI2" s="1953"/>
      <c r="AJ2" s="766" t="s">
        <v>173</v>
      </c>
      <c r="AK2" s="766" t="s">
        <v>173</v>
      </c>
      <c r="AL2" s="398"/>
      <c r="AM2" s="398"/>
      <c r="AN2" s="398"/>
      <c r="AO2" s="398"/>
      <c r="AP2" s="398"/>
      <c r="AQ2" s="398"/>
    </row>
    <row r="3" spans="1:43" ht="41.25" customHeight="1">
      <c r="A3" s="1968" t="s">
        <v>419</v>
      </c>
      <c r="B3" s="1969"/>
      <c r="C3" s="1970"/>
      <c r="D3" s="1970"/>
      <c r="E3" s="2079" t="s">
        <v>1494</v>
      </c>
      <c r="F3" s="1971" t="s">
        <v>71</v>
      </c>
      <c r="G3" s="1972"/>
      <c r="H3" s="1973" t="s">
        <v>71</v>
      </c>
      <c r="I3" s="1973"/>
      <c r="J3" s="1973"/>
      <c r="K3" s="1973"/>
      <c r="L3" s="1973"/>
      <c r="M3" s="1973"/>
      <c r="N3" s="1973"/>
      <c r="O3" s="1973"/>
      <c r="P3" s="1973"/>
      <c r="Q3" s="1973"/>
      <c r="R3" s="1973"/>
      <c r="S3" s="1973"/>
      <c r="T3" s="1973"/>
      <c r="U3" s="1973"/>
      <c r="V3" s="1973"/>
      <c r="W3" s="1973"/>
      <c r="X3" s="1973"/>
      <c r="Y3" s="1973"/>
      <c r="Z3" s="1973"/>
      <c r="AA3" s="1973"/>
      <c r="AB3" s="1973"/>
      <c r="AC3" s="1973"/>
      <c r="AD3" s="1973"/>
      <c r="AE3" s="1973"/>
      <c r="AF3" s="1973"/>
      <c r="AG3" s="1973"/>
      <c r="AH3" s="1973"/>
      <c r="AI3" s="1974"/>
      <c r="AJ3" s="1973"/>
      <c r="AK3" s="1973"/>
      <c r="AL3" s="1973"/>
      <c r="AM3" s="1973"/>
      <c r="AN3" s="1973"/>
      <c r="AO3" s="1973"/>
      <c r="AP3" s="1973"/>
    </row>
    <row r="4" spans="1:43" s="306" customFormat="1" ht="33" hidden="1" customHeight="1">
      <c r="A4" s="1093"/>
      <c r="B4" s="3215" t="s">
        <v>75</v>
      </c>
      <c r="C4" s="3215"/>
      <c r="D4" s="3119" t="s">
        <v>123</v>
      </c>
      <c r="E4" s="3810" t="s">
        <v>63</v>
      </c>
      <c r="F4" s="400"/>
      <c r="G4" s="401"/>
      <c r="H4" s="3567" t="s">
        <v>469</v>
      </c>
      <c r="I4" s="3567"/>
      <c r="J4" s="3567"/>
      <c r="K4" s="3567"/>
      <c r="L4" s="3567"/>
      <c r="M4" s="1222"/>
      <c r="N4" s="3560" t="s">
        <v>1449</v>
      </c>
      <c r="O4" s="3560"/>
      <c r="P4" s="3560"/>
      <c r="Q4" s="3560"/>
      <c r="R4" s="3560"/>
      <c r="S4" s="1222"/>
      <c r="T4" s="3567" t="s">
        <v>1450</v>
      </c>
      <c r="U4" s="3567"/>
      <c r="V4" s="3567"/>
      <c r="W4" s="3567"/>
      <c r="X4" s="3567"/>
      <c r="Y4" s="1222"/>
      <c r="Z4" s="3567" t="s">
        <v>1451</v>
      </c>
      <c r="AA4" s="3567"/>
      <c r="AB4" s="3567"/>
      <c r="AC4" s="3567"/>
      <c r="AD4" s="3567"/>
      <c r="AE4" s="1222"/>
      <c r="AF4" s="3567" t="s">
        <v>1452</v>
      </c>
      <c r="AG4" s="3567"/>
      <c r="AH4" s="3567"/>
      <c r="AI4" s="3567"/>
      <c r="AJ4" s="3567"/>
      <c r="AK4" s="1222"/>
      <c r="AL4" s="3567" t="s">
        <v>1453</v>
      </c>
      <c r="AM4" s="3567"/>
      <c r="AN4" s="3567"/>
      <c r="AO4" s="3567"/>
      <c r="AP4" s="3567"/>
      <c r="AQ4" s="399"/>
    </row>
    <row r="5" spans="1:43" s="306" customFormat="1" ht="33" hidden="1" customHeight="1">
      <c r="A5" s="426" t="s">
        <v>236</v>
      </c>
      <c r="B5" s="3215"/>
      <c r="C5" s="3215"/>
      <c r="D5" s="3809"/>
      <c r="E5" s="3811"/>
      <c r="F5" s="404" t="s">
        <v>420</v>
      </c>
      <c r="G5" s="405"/>
      <c r="H5" s="1063" t="s">
        <v>728</v>
      </c>
      <c r="I5" s="294" t="s">
        <v>1</v>
      </c>
      <c r="J5" s="3812" t="s">
        <v>1</v>
      </c>
      <c r="K5" s="3812"/>
      <c r="L5" s="3812"/>
      <c r="M5" s="1094"/>
      <c r="N5" s="1063" t="s">
        <v>728</v>
      </c>
      <c r="O5" s="294" t="s">
        <v>1</v>
      </c>
      <c r="P5" s="3812" t="s">
        <v>1</v>
      </c>
      <c r="Q5" s="3812"/>
      <c r="R5" s="3813"/>
      <c r="S5" s="405"/>
      <c r="T5" s="1063" t="s">
        <v>728</v>
      </c>
      <c r="U5" s="294" t="s">
        <v>1</v>
      </c>
      <c r="V5" s="3812" t="s">
        <v>1</v>
      </c>
      <c r="W5" s="3812"/>
      <c r="X5" s="3813"/>
      <c r="Y5" s="1094"/>
      <c r="Z5" s="1063" t="s">
        <v>728</v>
      </c>
      <c r="AA5" s="294" t="s">
        <v>1</v>
      </c>
      <c r="AB5" s="3814" t="s">
        <v>1</v>
      </c>
      <c r="AC5" s="3814"/>
      <c r="AD5" s="3814"/>
      <c r="AE5" s="405"/>
      <c r="AF5" s="1063" t="s">
        <v>728</v>
      </c>
      <c r="AG5" s="294" t="s">
        <v>1</v>
      </c>
      <c r="AH5" s="3812" t="s">
        <v>1</v>
      </c>
      <c r="AI5" s="3812"/>
      <c r="AJ5" s="3813"/>
      <c r="AK5" s="1094"/>
      <c r="AL5" s="1063" t="s">
        <v>728</v>
      </c>
      <c r="AM5" s="294" t="s">
        <v>1</v>
      </c>
      <c r="AN5" s="3814" t="s">
        <v>1</v>
      </c>
      <c r="AO5" s="3814"/>
      <c r="AP5" s="3814"/>
      <c r="AQ5" s="426" t="s">
        <v>421</v>
      </c>
    </row>
    <row r="6" spans="1:43" ht="28.5" hidden="1" customHeight="1">
      <c r="A6" s="1095" t="s">
        <v>422</v>
      </c>
      <c r="B6" s="3137" t="s">
        <v>832</v>
      </c>
      <c r="C6" s="3743"/>
      <c r="D6" s="46" t="s">
        <v>3</v>
      </c>
      <c r="E6" s="47" t="s">
        <v>424</v>
      </c>
      <c r="F6" s="406">
        <v>12.5</v>
      </c>
      <c r="G6" s="407">
        <f>R.HN!C2</f>
        <v>0</v>
      </c>
      <c r="H6" s="1468">
        <f>(1*G6*36.5)/(1*10)</f>
        <v>0</v>
      </c>
      <c r="I6" s="1468">
        <f>($F$6-H6)*748/32</f>
        <v>292.1875</v>
      </c>
      <c r="J6" s="1469" t="s">
        <v>8</v>
      </c>
      <c r="K6" s="1459">
        <f>IF(H6=0,0,IF(I6&lt;0,0,I6))</f>
        <v>0</v>
      </c>
      <c r="L6" s="1469" t="s">
        <v>10</v>
      </c>
      <c r="M6" s="1471">
        <f>R.HN!D2</f>
        <v>0</v>
      </c>
      <c r="N6" s="1468">
        <f>(1*M6*36.5)/(1*10)</f>
        <v>0</v>
      </c>
      <c r="O6" s="1468">
        <f>($F$6-N6)*748/32</f>
        <v>292.1875</v>
      </c>
      <c r="P6" s="1469" t="s">
        <v>8</v>
      </c>
      <c r="Q6" s="1459">
        <f>IF(N6=0,0,IF(O6&lt;0,0,O6))</f>
        <v>0</v>
      </c>
      <c r="R6" s="1468" t="s">
        <v>10</v>
      </c>
      <c r="S6" s="1472">
        <f>R.HN!E2</f>
        <v>0</v>
      </c>
      <c r="T6" s="1468">
        <f>(1*S6*36.5)/(1*10)</f>
        <v>0</v>
      </c>
      <c r="U6" s="1468">
        <f>($F$6-T6)*748/32</f>
        <v>292.1875</v>
      </c>
      <c r="V6" s="1469" t="s">
        <v>8</v>
      </c>
      <c r="W6" s="1459">
        <f>IF(T6=0,0,IF(U6&lt;0,0,U6))</f>
        <v>0</v>
      </c>
      <c r="X6" s="1468" t="s">
        <v>10</v>
      </c>
      <c r="Y6" s="1472">
        <f>R.HN!F2</f>
        <v>0</v>
      </c>
      <c r="Z6" s="1468">
        <f>(1*Y6*36.5)/(1*10)</f>
        <v>0</v>
      </c>
      <c r="AA6" s="1468">
        <f>($F$6-Z6)*748/32</f>
        <v>292.1875</v>
      </c>
      <c r="AB6" s="1469" t="s">
        <v>8</v>
      </c>
      <c r="AC6" s="1459">
        <f>IF(Z6=0,0,IF(AA6&lt;0,0,AA6))</f>
        <v>0</v>
      </c>
      <c r="AD6" s="1468" t="s">
        <v>10</v>
      </c>
      <c r="AE6" s="1472">
        <f>R.HN!G2</f>
        <v>0</v>
      </c>
      <c r="AF6" s="1468">
        <f>(1*AE6*36.5)/(1*10)</f>
        <v>0</v>
      </c>
      <c r="AG6" s="1468">
        <f>($F$6-AF6)*748/32</f>
        <v>292.1875</v>
      </c>
      <c r="AH6" s="1469" t="s">
        <v>8</v>
      </c>
      <c r="AI6" s="1459">
        <f>IF(AF6=0,0,IF(AG6&lt;0,0,AG6))</f>
        <v>0</v>
      </c>
      <c r="AJ6" s="1468" t="s">
        <v>10</v>
      </c>
      <c r="AK6" s="1472">
        <f>R.HN!H2</f>
        <v>0</v>
      </c>
      <c r="AL6" s="1468">
        <f>(1*AK6*36.5)/(1*10)</f>
        <v>0</v>
      </c>
      <c r="AM6" s="1468">
        <f>($F$6-AL6)*748/32</f>
        <v>292.1875</v>
      </c>
      <c r="AN6" s="1469" t="s">
        <v>8</v>
      </c>
      <c r="AO6" s="1459">
        <f>IF(AL6=0,0,IF(AM6&lt;0,0,AM6))</f>
        <v>0</v>
      </c>
      <c r="AP6" s="271" t="s">
        <v>10</v>
      </c>
      <c r="AQ6" s="12" t="s">
        <v>425</v>
      </c>
    </row>
    <row r="7" spans="1:43" ht="28.5" hidden="1" customHeight="1">
      <c r="A7" s="1095" t="s">
        <v>426</v>
      </c>
      <c r="B7" s="3137" t="s">
        <v>833</v>
      </c>
      <c r="C7" s="3743"/>
      <c r="D7" s="46" t="s">
        <v>3</v>
      </c>
      <c r="E7" s="47" t="s">
        <v>424</v>
      </c>
      <c r="F7" s="406">
        <v>12.5</v>
      </c>
      <c r="G7" s="407">
        <f>R.HN!C3</f>
        <v>0</v>
      </c>
      <c r="H7" s="1468">
        <f>(1*G7*36.5)/(1*10)</f>
        <v>0</v>
      </c>
      <c r="I7" s="1468">
        <f>($F$6-H7)*748/32</f>
        <v>292.1875</v>
      </c>
      <c r="J7" s="1469" t="s">
        <v>8</v>
      </c>
      <c r="K7" s="1473">
        <f>IF(I7&lt;0,0,I7)</f>
        <v>292.1875</v>
      </c>
      <c r="L7" s="1469" t="s">
        <v>10</v>
      </c>
      <c r="M7" s="1471">
        <f>R.HN!D3</f>
        <v>0</v>
      </c>
      <c r="N7" s="1468">
        <f>(1*M7*36.5)/(1*10)</f>
        <v>0</v>
      </c>
      <c r="O7" s="1468">
        <f>($F$6-N7)*748/32</f>
        <v>292.1875</v>
      </c>
      <c r="P7" s="1469" t="s">
        <v>8</v>
      </c>
      <c r="Q7" s="1473">
        <f>IF(O7&lt;0,0,O7)</f>
        <v>292.1875</v>
      </c>
      <c r="R7" s="1468" t="s">
        <v>10</v>
      </c>
      <c r="S7" s="1472">
        <f>R.HN!E3</f>
        <v>0</v>
      </c>
      <c r="T7" s="1468">
        <f>(1*S7*36.5)/(1*10)</f>
        <v>0</v>
      </c>
      <c r="U7" s="1468">
        <f>($F$6-T7)*748/32</f>
        <v>292.1875</v>
      </c>
      <c r="V7" s="1469" t="s">
        <v>8</v>
      </c>
      <c r="W7" s="1473">
        <f>IF(U7&lt;0,0,U7)</f>
        <v>292.1875</v>
      </c>
      <c r="X7" s="1468" t="s">
        <v>10</v>
      </c>
      <c r="Y7" s="1472">
        <f>R.HN!F3</f>
        <v>0</v>
      </c>
      <c r="Z7" s="1468">
        <f>(1*Y7*36.5)/(1*10)</f>
        <v>0</v>
      </c>
      <c r="AA7" s="1468">
        <f>($F$6-Z7)*748/32</f>
        <v>292.1875</v>
      </c>
      <c r="AB7" s="1469" t="s">
        <v>8</v>
      </c>
      <c r="AC7" s="1473">
        <f>IF(AA7&lt;0,0,AA7)</f>
        <v>292.1875</v>
      </c>
      <c r="AD7" s="1468" t="s">
        <v>10</v>
      </c>
      <c r="AE7" s="1472">
        <f>R.HN!G3</f>
        <v>0</v>
      </c>
      <c r="AF7" s="1468">
        <f>(1*AE7*36.5)/(1*10)</f>
        <v>0</v>
      </c>
      <c r="AG7" s="1468">
        <f>($F$6-AF7)*748/32</f>
        <v>292.1875</v>
      </c>
      <c r="AH7" s="1469" t="s">
        <v>8</v>
      </c>
      <c r="AI7" s="1473">
        <f>IF(AG7&lt;0,0,AG7)</f>
        <v>292.1875</v>
      </c>
      <c r="AJ7" s="1468" t="s">
        <v>10</v>
      </c>
      <c r="AK7" s="1472">
        <f>R.HN!H3</f>
        <v>0</v>
      </c>
      <c r="AL7" s="1468">
        <f>(1*AK7*36.5)/(1*10)</f>
        <v>0</v>
      </c>
      <c r="AM7" s="1468">
        <f>($F$6-AL7)*748/32</f>
        <v>292.1875</v>
      </c>
      <c r="AN7" s="1469" t="s">
        <v>8</v>
      </c>
      <c r="AO7" s="1473">
        <f>IF(AM7&lt;0,0,AM7)</f>
        <v>292.1875</v>
      </c>
      <c r="AP7" s="271" t="s">
        <v>10</v>
      </c>
      <c r="AQ7" s="12" t="s">
        <v>425</v>
      </c>
    </row>
    <row r="8" spans="1:43" ht="33.75" hidden="1" customHeight="1">
      <c r="A8" s="1095" t="s">
        <v>427</v>
      </c>
      <c r="B8" s="1098" t="s">
        <v>782</v>
      </c>
      <c r="C8" s="3815">
        <f>R.HN!B4</f>
        <v>3</v>
      </c>
      <c r="D8" s="1099" t="s">
        <v>429</v>
      </c>
      <c r="E8" s="47" t="s">
        <v>1402</v>
      </c>
      <c r="F8" s="410">
        <v>50</v>
      </c>
      <c r="G8" s="407">
        <f>R.HN!C4</f>
        <v>0</v>
      </c>
      <c r="H8" s="1468">
        <f>G8*10</f>
        <v>0</v>
      </c>
      <c r="I8" s="1468">
        <f>($F$8-H8)*2*694/1000</f>
        <v>69.400000000000006</v>
      </c>
      <c r="J8" s="1469" t="s">
        <v>8</v>
      </c>
      <c r="K8" s="1459">
        <f>IF(H8=0,0,IF(I8&lt;0,0,I8))</f>
        <v>0</v>
      </c>
      <c r="L8" s="1469" t="s">
        <v>9</v>
      </c>
      <c r="M8" s="1471">
        <f>R.HN!D4</f>
        <v>0</v>
      </c>
      <c r="N8" s="1468">
        <f>M8*10</f>
        <v>0</v>
      </c>
      <c r="O8" s="1468">
        <f>($F$8-N8)*2*694/1000</f>
        <v>69.400000000000006</v>
      </c>
      <c r="P8" s="1469" t="s">
        <v>8</v>
      </c>
      <c r="Q8" s="1459">
        <f>IF(N8=0,0,IF(O8&lt;0,0,O8))</f>
        <v>0</v>
      </c>
      <c r="R8" s="1468" t="s">
        <v>9</v>
      </c>
      <c r="S8" s="1472">
        <f>R.HN!E4</f>
        <v>0</v>
      </c>
      <c r="T8" s="1468">
        <f>S8*10</f>
        <v>0</v>
      </c>
      <c r="U8" s="1468">
        <f>($F$8-T8)*2*694/1000</f>
        <v>69.400000000000006</v>
      </c>
      <c r="V8" s="1469" t="s">
        <v>8</v>
      </c>
      <c r="W8" s="1459">
        <f>IF(T8=0,0,IF(U8&lt;0,0,U8))</f>
        <v>0</v>
      </c>
      <c r="X8" s="1468" t="s">
        <v>9</v>
      </c>
      <c r="Y8" s="1472">
        <f>R.HN!F4</f>
        <v>0</v>
      </c>
      <c r="Z8" s="1468">
        <f>Y8*10</f>
        <v>0</v>
      </c>
      <c r="AA8" s="1468">
        <f>($F$8-Z8)*2*694/1000</f>
        <v>69.400000000000006</v>
      </c>
      <c r="AB8" s="1469" t="s">
        <v>8</v>
      </c>
      <c r="AC8" s="1459">
        <f>IF(Z8=0,0,IF(AA8&lt;0,0,AA8))</f>
        <v>0</v>
      </c>
      <c r="AD8" s="1468" t="s">
        <v>9</v>
      </c>
      <c r="AE8" s="1472">
        <f>R.HN!G4</f>
        <v>0</v>
      </c>
      <c r="AF8" s="1468">
        <f>AE8*10</f>
        <v>0</v>
      </c>
      <c r="AG8" s="1468">
        <f>($F$8-AF8)*2*694/1000</f>
        <v>69.400000000000006</v>
      </c>
      <c r="AH8" s="1469" t="s">
        <v>8</v>
      </c>
      <c r="AI8" s="1459">
        <f>IF(AF8=0,0,IF(AG8&lt;0,0,AG8))</f>
        <v>0</v>
      </c>
      <c r="AJ8" s="1468" t="s">
        <v>9</v>
      </c>
      <c r="AK8" s="1472">
        <f>R.HN!H4</f>
        <v>0</v>
      </c>
      <c r="AL8" s="1468">
        <f>AK8*10</f>
        <v>0</v>
      </c>
      <c r="AM8" s="1468">
        <f>($F$8-AL8)*2*694/1000</f>
        <v>69.400000000000006</v>
      </c>
      <c r="AN8" s="1469" t="s">
        <v>8</v>
      </c>
      <c r="AO8" s="1459">
        <f>IF(AL8=0,0,IF(AM8&lt;0,0,AM8))</f>
        <v>0</v>
      </c>
      <c r="AP8" s="271" t="s">
        <v>9</v>
      </c>
      <c r="AQ8" s="12" t="s">
        <v>425</v>
      </c>
    </row>
    <row r="9" spans="1:43" ht="33.75" hidden="1" customHeight="1">
      <c r="A9" s="1065" t="s">
        <v>430</v>
      </c>
      <c r="B9" s="1100" t="s">
        <v>783</v>
      </c>
      <c r="C9" s="3816"/>
      <c r="D9" s="1099" t="s">
        <v>429</v>
      </c>
      <c r="E9" s="47" t="s">
        <v>1052</v>
      </c>
      <c r="F9" s="411">
        <v>6.5</v>
      </c>
      <c r="G9" s="407">
        <f>R.HN!C5</f>
        <v>0</v>
      </c>
      <c r="H9" s="1468">
        <f>IFERROR(H8/G9,0)</f>
        <v>0</v>
      </c>
      <c r="I9" s="1468">
        <f>($F$9-H9)*694/1000</f>
        <v>4.5110000000000001</v>
      </c>
      <c r="J9" s="1469"/>
      <c r="K9" s="1459">
        <f>IF(H9=0,0,IF(I9&lt;0,0,I9))</f>
        <v>0</v>
      </c>
      <c r="L9" s="1469" t="s">
        <v>9</v>
      </c>
      <c r="M9" s="1471">
        <f>R.HN!D5</f>
        <v>0</v>
      </c>
      <c r="N9" s="1468">
        <f>IFERROR(N8/M9,0)</f>
        <v>0</v>
      </c>
      <c r="O9" s="1468">
        <f>($F$9-N9)*694/1000</f>
        <v>4.5110000000000001</v>
      </c>
      <c r="P9" s="1469"/>
      <c r="Q9" s="1459">
        <f>IF(N9=0,0,IF(O9&lt;0,0,O9))</f>
        <v>0</v>
      </c>
      <c r="R9" s="1468" t="s">
        <v>9</v>
      </c>
      <c r="S9" s="1472">
        <f>R.HN!E5</f>
        <v>0</v>
      </c>
      <c r="T9" s="1468">
        <f>IFERROR(T8/S9,0)</f>
        <v>0</v>
      </c>
      <c r="U9" s="1468">
        <f>($F$9-T9)*694/1000</f>
        <v>4.5110000000000001</v>
      </c>
      <c r="V9" s="1469"/>
      <c r="W9" s="1459">
        <f>IF(T9=0,0,IF(U9&lt;0,0,U9))</f>
        <v>0</v>
      </c>
      <c r="X9" s="1468" t="s">
        <v>9</v>
      </c>
      <c r="Y9" s="1472">
        <f>R.HN!F5</f>
        <v>0</v>
      </c>
      <c r="Z9" s="1468">
        <f>IFERROR(Z8/Y9,0)</f>
        <v>0</v>
      </c>
      <c r="AA9" s="1468">
        <f>($F$9-Z9)*694/1000</f>
        <v>4.5110000000000001</v>
      </c>
      <c r="AB9" s="1469"/>
      <c r="AC9" s="1459">
        <f>IF(Z9=0,0,IF(AA9&lt;0,0,AA9))</f>
        <v>0</v>
      </c>
      <c r="AD9" s="1468" t="s">
        <v>9</v>
      </c>
      <c r="AE9" s="1472">
        <f>R.HN!G5</f>
        <v>0</v>
      </c>
      <c r="AF9" s="1468">
        <f>IFERROR(AF8/AE9,0)</f>
        <v>0</v>
      </c>
      <c r="AG9" s="1468">
        <f>($F$9-AF9)*694/1000</f>
        <v>4.5110000000000001</v>
      </c>
      <c r="AH9" s="1469"/>
      <c r="AI9" s="1459">
        <f>IF(AF9=0,0,IF(AG9&lt;0,0,AG9))</f>
        <v>0</v>
      </c>
      <c r="AJ9" s="1468" t="s">
        <v>9</v>
      </c>
      <c r="AK9" s="1472">
        <f>R.HN!H5</f>
        <v>0</v>
      </c>
      <c r="AL9" s="1468">
        <f>IFERROR(AL8/AK9,0)</f>
        <v>0</v>
      </c>
      <c r="AM9" s="1468">
        <f>($F$9-AL9)*694/1000</f>
        <v>4.5110000000000001</v>
      </c>
      <c r="AN9" s="1469"/>
      <c r="AO9" s="1459">
        <f>IF(AL9=0,0,IF(AM9&lt;0,0,AM9))</f>
        <v>0</v>
      </c>
      <c r="AP9" s="271" t="s">
        <v>9</v>
      </c>
      <c r="AQ9" s="12" t="s">
        <v>425</v>
      </c>
    </row>
    <row r="10" spans="1:43" ht="33.75" hidden="1" customHeight="1">
      <c r="A10" s="1095" t="s">
        <v>431</v>
      </c>
      <c r="B10" s="1101" t="s">
        <v>784</v>
      </c>
      <c r="C10" s="3817"/>
      <c r="D10" s="1099" t="s">
        <v>429</v>
      </c>
      <c r="E10" s="47" t="s">
        <v>1053</v>
      </c>
      <c r="F10" s="406">
        <v>0.4</v>
      </c>
      <c r="G10" s="407">
        <f>R.HN!C6</f>
        <v>0</v>
      </c>
      <c r="H10" s="1468">
        <f>G10</f>
        <v>0</v>
      </c>
      <c r="I10" s="1468">
        <f>($F$10-H10)*5</f>
        <v>2</v>
      </c>
      <c r="J10" s="1469"/>
      <c r="K10" s="1473"/>
      <c r="L10" s="1469"/>
      <c r="M10" s="1471">
        <f>R.HN!D6</f>
        <v>0</v>
      </c>
      <c r="N10" s="1468">
        <f>M10</f>
        <v>0</v>
      </c>
      <c r="O10" s="1468">
        <f>($F$10-N10)*5</f>
        <v>2</v>
      </c>
      <c r="P10" s="1469"/>
      <c r="Q10" s="1473"/>
      <c r="R10" s="1468"/>
      <c r="S10" s="1472">
        <f>R.HN!E6</f>
        <v>0</v>
      </c>
      <c r="T10" s="1468">
        <f>S10</f>
        <v>0</v>
      </c>
      <c r="U10" s="1468">
        <f>($F$10-T10)*5</f>
        <v>2</v>
      </c>
      <c r="V10" s="1469"/>
      <c r="W10" s="1473"/>
      <c r="X10" s="1468"/>
      <c r="Y10" s="1472">
        <f>R.HN!F6</f>
        <v>0</v>
      </c>
      <c r="Z10" s="1468">
        <f>Y10</f>
        <v>0</v>
      </c>
      <c r="AA10" s="1468">
        <f>($F$10-Z10)*5</f>
        <v>2</v>
      </c>
      <c r="AB10" s="1469"/>
      <c r="AC10" s="1473"/>
      <c r="AD10" s="1468"/>
      <c r="AE10" s="1472">
        <f>R.HN!G6</f>
        <v>0</v>
      </c>
      <c r="AF10" s="1468">
        <f>AE10</f>
        <v>0</v>
      </c>
      <c r="AG10" s="1468">
        <f>($F$10-AF10)*5</f>
        <v>2</v>
      </c>
      <c r="AH10" s="1469"/>
      <c r="AI10" s="1473"/>
      <c r="AJ10" s="1468"/>
      <c r="AK10" s="1472">
        <f>R.HN!H6</f>
        <v>0</v>
      </c>
      <c r="AL10" s="1468">
        <f>AK10</f>
        <v>0</v>
      </c>
      <c r="AM10" s="1468">
        <f>($F$10-AL10)*5</f>
        <v>2</v>
      </c>
      <c r="AN10" s="1469"/>
      <c r="AO10" s="1473"/>
      <c r="AP10" s="271"/>
      <c r="AQ10" s="12" t="s">
        <v>425</v>
      </c>
    </row>
    <row r="11" spans="1:43" ht="33.75" hidden="1" customHeight="1">
      <c r="A11" s="1095" t="s">
        <v>433</v>
      </c>
      <c r="B11" s="1098" t="s">
        <v>782</v>
      </c>
      <c r="C11" s="3815">
        <f>R.HN!B7</f>
        <v>4</v>
      </c>
      <c r="D11" s="1099" t="s">
        <v>429</v>
      </c>
      <c r="E11" s="47" t="s">
        <v>1402</v>
      </c>
      <c r="F11" s="410">
        <v>50</v>
      </c>
      <c r="G11" s="407">
        <f>R.HN!C7</f>
        <v>0</v>
      </c>
      <c r="H11" s="1468">
        <f>G11*10</f>
        <v>0</v>
      </c>
      <c r="I11" s="1468">
        <f>($F$8-H11)*2*694/1000</f>
        <v>69.400000000000006</v>
      </c>
      <c r="J11" s="1469" t="s">
        <v>8</v>
      </c>
      <c r="K11" s="1459">
        <f>IF(H11=0,0,IF(I11&lt;0,0,I11))</f>
        <v>0</v>
      </c>
      <c r="L11" s="1469" t="s">
        <v>9</v>
      </c>
      <c r="M11" s="1471">
        <f>R.HN!D7</f>
        <v>0</v>
      </c>
      <c r="N11" s="1468">
        <f>M11*10</f>
        <v>0</v>
      </c>
      <c r="O11" s="1468">
        <f>($F$8-N11)*2*694/1000</f>
        <v>69.400000000000006</v>
      </c>
      <c r="P11" s="1469" t="s">
        <v>8</v>
      </c>
      <c r="Q11" s="1459">
        <f>IF(N11=0,0,IF(O11&lt;0,0,O11))</f>
        <v>0</v>
      </c>
      <c r="R11" s="1468" t="s">
        <v>9</v>
      </c>
      <c r="S11" s="1472">
        <f>R.HN!E7</f>
        <v>0</v>
      </c>
      <c r="T11" s="1468">
        <f>S11*10</f>
        <v>0</v>
      </c>
      <c r="U11" s="1468">
        <f>($F$8-T11)*2*694/1000</f>
        <v>69.400000000000006</v>
      </c>
      <c r="V11" s="1469" t="s">
        <v>8</v>
      </c>
      <c r="W11" s="1459">
        <f>IF(T11=0,0,IF(U11&lt;0,0,U11))</f>
        <v>0</v>
      </c>
      <c r="X11" s="1468" t="s">
        <v>9</v>
      </c>
      <c r="Y11" s="1472">
        <f>R.HN!F7</f>
        <v>0</v>
      </c>
      <c r="Z11" s="1468">
        <f>Y11*10</f>
        <v>0</v>
      </c>
      <c r="AA11" s="1468">
        <f>($F$8-Z11)*2*694/1000</f>
        <v>69.400000000000006</v>
      </c>
      <c r="AB11" s="1469" t="s">
        <v>8</v>
      </c>
      <c r="AC11" s="1459">
        <f>IF(Z11=0,0,IF(AA11&lt;0,0,AA11))</f>
        <v>0</v>
      </c>
      <c r="AD11" s="1468" t="s">
        <v>9</v>
      </c>
      <c r="AE11" s="1472">
        <f>R.HN!G7</f>
        <v>0</v>
      </c>
      <c r="AF11" s="1468">
        <f>AE11*10</f>
        <v>0</v>
      </c>
      <c r="AG11" s="1468">
        <f>($F$8-AF11)*2*694/1000</f>
        <v>69.400000000000006</v>
      </c>
      <c r="AH11" s="1469" t="s">
        <v>8</v>
      </c>
      <c r="AI11" s="1459">
        <f>IF(AF11=0,0,IF(AG11&lt;0,0,AG11))</f>
        <v>0</v>
      </c>
      <c r="AJ11" s="1468" t="s">
        <v>9</v>
      </c>
      <c r="AK11" s="1472">
        <f>R.HN!H7</f>
        <v>0</v>
      </c>
      <c r="AL11" s="1468">
        <f>AK11*10</f>
        <v>0</v>
      </c>
      <c r="AM11" s="1468">
        <f>($F$8-AL11)*2*694/1000</f>
        <v>69.400000000000006</v>
      </c>
      <c r="AN11" s="1469" t="s">
        <v>8</v>
      </c>
      <c r="AO11" s="1459">
        <f>IF(AL11=0,0,IF(AM11&lt;0,0,AM11))</f>
        <v>0</v>
      </c>
      <c r="AP11" s="271" t="s">
        <v>9</v>
      </c>
      <c r="AQ11" s="12" t="s">
        <v>425</v>
      </c>
    </row>
    <row r="12" spans="1:43" ht="31.5" hidden="1" customHeight="1">
      <c r="A12" s="1095" t="s">
        <v>435</v>
      </c>
      <c r="B12" s="1100" t="s">
        <v>783</v>
      </c>
      <c r="C12" s="3816"/>
      <c r="D12" s="1099" t="s">
        <v>429</v>
      </c>
      <c r="E12" s="47" t="s">
        <v>1052</v>
      </c>
      <c r="F12" s="411">
        <v>6.5</v>
      </c>
      <c r="G12" s="407">
        <f>R.HN!C8</f>
        <v>0</v>
      </c>
      <c r="H12" s="1468">
        <f>IFERROR(H11/G12,0)</f>
        <v>0</v>
      </c>
      <c r="I12" s="1468">
        <f>($F$9-H12)*694/1000</f>
        <v>4.5110000000000001</v>
      </c>
      <c r="J12" s="1469"/>
      <c r="K12" s="1459">
        <f>IF(H12=0,0,IF(I12&lt;0,0,I12))</f>
        <v>0</v>
      </c>
      <c r="L12" s="1469" t="s">
        <v>9</v>
      </c>
      <c r="M12" s="1471">
        <f>R.HN!D8</f>
        <v>0</v>
      </c>
      <c r="N12" s="1468">
        <f>IFERROR(N11/M12,0)</f>
        <v>0</v>
      </c>
      <c r="O12" s="1468">
        <f>($F$9-N12)*694/1000</f>
        <v>4.5110000000000001</v>
      </c>
      <c r="P12" s="1469"/>
      <c r="Q12" s="1459">
        <f>IF(N12=0,0,IF(O12&lt;0,0,O12))</f>
        <v>0</v>
      </c>
      <c r="R12" s="1468" t="s">
        <v>9</v>
      </c>
      <c r="S12" s="1472">
        <f>R.HN!E8</f>
        <v>0</v>
      </c>
      <c r="T12" s="1468">
        <f>IFERROR(T11/S12,0)</f>
        <v>0</v>
      </c>
      <c r="U12" s="1468">
        <f>($F$9-T12)*694/1000</f>
        <v>4.5110000000000001</v>
      </c>
      <c r="V12" s="1469"/>
      <c r="W12" s="1459">
        <f>IF(T12=0,0,IF(U12&lt;0,0,U12))</f>
        <v>0</v>
      </c>
      <c r="X12" s="1468" t="s">
        <v>9</v>
      </c>
      <c r="Y12" s="1472">
        <f>R.HN!F8</f>
        <v>0</v>
      </c>
      <c r="Z12" s="1468">
        <f>IFERROR(Z11/Y12,0)</f>
        <v>0</v>
      </c>
      <c r="AA12" s="1468">
        <f>($F$9-Z12)*694/1000</f>
        <v>4.5110000000000001</v>
      </c>
      <c r="AB12" s="1469"/>
      <c r="AC12" s="1459">
        <f>IF(Z12=0,0,IF(AA12&lt;0,0,AA12))</f>
        <v>0</v>
      </c>
      <c r="AD12" s="1468" t="s">
        <v>9</v>
      </c>
      <c r="AE12" s="1472">
        <f>R.HN!G8</f>
        <v>0</v>
      </c>
      <c r="AF12" s="1468">
        <f>IFERROR(AF11/AE12,0)</f>
        <v>0</v>
      </c>
      <c r="AG12" s="1468">
        <f>($F$9-AF12)*694/1000</f>
        <v>4.5110000000000001</v>
      </c>
      <c r="AH12" s="1469"/>
      <c r="AI12" s="1459">
        <f>IF(AF12=0,0,IF(AG12&lt;0,0,AG12))</f>
        <v>0</v>
      </c>
      <c r="AJ12" s="1468" t="s">
        <v>9</v>
      </c>
      <c r="AK12" s="1472">
        <f>R.HN!H8</f>
        <v>0</v>
      </c>
      <c r="AL12" s="1468">
        <f>IFERROR(AL11/AK12,0)</f>
        <v>0</v>
      </c>
      <c r="AM12" s="1468">
        <f>($F$9-AL12)*694/1000</f>
        <v>4.5110000000000001</v>
      </c>
      <c r="AN12" s="1469"/>
      <c r="AO12" s="1459">
        <f>IF(AL12=0,0,IF(AM12&lt;0,0,AM12))</f>
        <v>0</v>
      </c>
      <c r="AP12" s="271" t="s">
        <v>9</v>
      </c>
      <c r="AQ12" s="12" t="s">
        <v>425</v>
      </c>
    </row>
    <row r="13" spans="1:43" ht="31.5" hidden="1" customHeight="1">
      <c r="A13" s="1095" t="s">
        <v>436</v>
      </c>
      <c r="B13" s="1101" t="s">
        <v>784</v>
      </c>
      <c r="C13" s="3817"/>
      <c r="D13" s="1099" t="s">
        <v>429</v>
      </c>
      <c r="E13" s="47" t="s">
        <v>1053</v>
      </c>
      <c r="F13" s="406">
        <v>0.4</v>
      </c>
      <c r="G13" s="407">
        <f>R.HN!C9</f>
        <v>0</v>
      </c>
      <c r="H13" s="1463">
        <f>G13</f>
        <v>0</v>
      </c>
      <c r="I13" s="1463">
        <f>($F$10-H13)*5</f>
        <v>2</v>
      </c>
      <c r="J13" s="1464"/>
      <c r="K13" s="1473"/>
      <c r="L13" s="1464"/>
      <c r="M13" s="1466">
        <f>R.HN!D9</f>
        <v>0</v>
      </c>
      <c r="N13" s="1463">
        <f>M13</f>
        <v>0</v>
      </c>
      <c r="O13" s="1463">
        <f>($F$10-N13)*5</f>
        <v>2</v>
      </c>
      <c r="P13" s="1464"/>
      <c r="Q13" s="1473"/>
      <c r="R13" s="1463"/>
      <c r="S13" s="1467">
        <f>R.HN!E9</f>
        <v>0</v>
      </c>
      <c r="T13" s="1463">
        <f>S13</f>
        <v>0</v>
      </c>
      <c r="U13" s="1463">
        <f>($F$10-T13)*5</f>
        <v>2</v>
      </c>
      <c r="V13" s="1464"/>
      <c r="W13" s="1473"/>
      <c r="X13" s="1463"/>
      <c r="Y13" s="1467">
        <f>R.HN!F9</f>
        <v>0</v>
      </c>
      <c r="Z13" s="1463">
        <f>Y13</f>
        <v>0</v>
      </c>
      <c r="AA13" s="1463">
        <f>($F$10-Z13)*5</f>
        <v>2</v>
      </c>
      <c r="AB13" s="1464"/>
      <c r="AC13" s="1473"/>
      <c r="AD13" s="1463"/>
      <c r="AE13" s="1467">
        <f>R.HN!G9</f>
        <v>0</v>
      </c>
      <c r="AF13" s="1463">
        <f>AE13</f>
        <v>0</v>
      </c>
      <c r="AG13" s="1463">
        <f>($F$10-AF13)*5</f>
        <v>2</v>
      </c>
      <c r="AH13" s="1464"/>
      <c r="AI13" s="1473"/>
      <c r="AJ13" s="1463"/>
      <c r="AK13" s="1467">
        <f>R.HN!H9</f>
        <v>0</v>
      </c>
      <c r="AL13" s="1463">
        <f>AK13</f>
        <v>0</v>
      </c>
      <c r="AM13" s="1468">
        <f>($F$10-AL13)*5</f>
        <v>2</v>
      </c>
      <c r="AN13" s="1469"/>
      <c r="AO13" s="1473"/>
      <c r="AP13" s="271"/>
      <c r="AQ13" s="12" t="s">
        <v>425</v>
      </c>
    </row>
    <row r="14" spans="1:43" ht="31.5" hidden="1" customHeight="1">
      <c r="A14" s="1095" t="s">
        <v>437</v>
      </c>
      <c r="B14" s="1102" t="s">
        <v>438</v>
      </c>
      <c r="C14" s="1103"/>
      <c r="D14" s="1065" t="s">
        <v>429</v>
      </c>
      <c r="E14" s="47" t="s">
        <v>439</v>
      </c>
      <c r="F14" s="411">
        <v>1</v>
      </c>
      <c r="G14" s="407">
        <f>R.HN!C10</f>
        <v>0</v>
      </c>
      <c r="H14" s="1468">
        <f>G14</f>
        <v>0</v>
      </c>
      <c r="I14" s="1468">
        <f>($F$14-H14)*546/1000*8</f>
        <v>4.3680000000000003</v>
      </c>
      <c r="J14" s="1469" t="s">
        <v>8</v>
      </c>
      <c r="K14" s="1458">
        <f>IF(H14=0,0,IF(I14&lt;0,0,I14))</f>
        <v>0</v>
      </c>
      <c r="L14" s="1469" t="s">
        <v>9</v>
      </c>
      <c r="M14" s="1471">
        <f>R.HN!D10</f>
        <v>0</v>
      </c>
      <c r="N14" s="1468">
        <f>M14</f>
        <v>0</v>
      </c>
      <c r="O14" s="1468">
        <f>($F$14-N14)*546/1000*8</f>
        <v>4.3680000000000003</v>
      </c>
      <c r="P14" s="1469" t="s">
        <v>8</v>
      </c>
      <c r="Q14" s="1458">
        <f>IF(N14=0,0,IF(O14&lt;0,0,O14))</f>
        <v>0</v>
      </c>
      <c r="R14" s="1468" t="s">
        <v>9</v>
      </c>
      <c r="S14" s="1472">
        <f>R.HN!E10</f>
        <v>0</v>
      </c>
      <c r="T14" s="1468">
        <f>S14</f>
        <v>0</v>
      </c>
      <c r="U14" s="1468">
        <f>($F$14-T14)*546/1000*8</f>
        <v>4.3680000000000003</v>
      </c>
      <c r="V14" s="1469" t="s">
        <v>8</v>
      </c>
      <c r="W14" s="1458">
        <f>IF(T14=0,0,IF(U14&lt;0,0,U14))</f>
        <v>0</v>
      </c>
      <c r="X14" s="1468" t="s">
        <v>9</v>
      </c>
      <c r="Y14" s="1472">
        <f>R.HN!F10</f>
        <v>0</v>
      </c>
      <c r="Z14" s="1468">
        <f>Y14</f>
        <v>0</v>
      </c>
      <c r="AA14" s="1468">
        <f>($F$14-Z14)*546/1000*8</f>
        <v>4.3680000000000003</v>
      </c>
      <c r="AB14" s="1469" t="s">
        <v>8</v>
      </c>
      <c r="AC14" s="1458">
        <f>IF(Z14=0,0,IF(AA14&lt;0,0,AA14))</f>
        <v>0</v>
      </c>
      <c r="AD14" s="1468" t="s">
        <v>9</v>
      </c>
      <c r="AE14" s="1472">
        <f>R.HN!G10</f>
        <v>0</v>
      </c>
      <c r="AF14" s="1468">
        <f>AE14</f>
        <v>0</v>
      </c>
      <c r="AG14" s="1468">
        <f>($F$14-AF14)*546/1000*8</f>
        <v>4.3680000000000003</v>
      </c>
      <c r="AH14" s="1469" t="s">
        <v>8</v>
      </c>
      <c r="AI14" s="1458">
        <f>IF(AF14=0,0,IF(AG14&lt;0,0,AG14))</f>
        <v>0</v>
      </c>
      <c r="AJ14" s="1468" t="s">
        <v>9</v>
      </c>
      <c r="AK14" s="1472">
        <f>R.HN!H10</f>
        <v>0</v>
      </c>
      <c r="AL14" s="1468">
        <f>AK14</f>
        <v>0</v>
      </c>
      <c r="AM14" s="1468">
        <f>($F$14-AL14)*546/1000*8</f>
        <v>4.3680000000000003</v>
      </c>
      <c r="AN14" s="1469" t="s">
        <v>8</v>
      </c>
      <c r="AO14" s="1458">
        <f>IF(AL14=0,0,IF(AM14&lt;0,0,AM14))</f>
        <v>0</v>
      </c>
      <c r="AP14" s="271" t="s">
        <v>9</v>
      </c>
      <c r="AQ14" s="12" t="s">
        <v>425</v>
      </c>
    </row>
    <row r="15" spans="1:43" ht="31.5" hidden="1" customHeight="1">
      <c r="A15" s="1095" t="s">
        <v>440</v>
      </c>
      <c r="B15" s="1104" t="s">
        <v>5</v>
      </c>
      <c r="C15" s="1105"/>
      <c r="D15" s="1065" t="s">
        <v>5</v>
      </c>
      <c r="E15" s="47" t="s">
        <v>441</v>
      </c>
      <c r="F15" s="413">
        <v>9.5</v>
      </c>
      <c r="G15" s="407">
        <f>R.HN!C11</f>
        <v>0</v>
      </c>
      <c r="H15" s="1468">
        <f>G15</f>
        <v>0</v>
      </c>
      <c r="I15" s="1468"/>
      <c r="J15" s="1469"/>
      <c r="K15" s="1470"/>
      <c r="L15" s="1469"/>
      <c r="M15" s="1471">
        <f>R.HN!D11</f>
        <v>0</v>
      </c>
      <c r="N15" s="1468">
        <f>M15</f>
        <v>0</v>
      </c>
      <c r="O15" s="1468"/>
      <c r="P15" s="1469"/>
      <c r="Q15" s="1470"/>
      <c r="R15" s="1468"/>
      <c r="S15" s="1472">
        <f>R.HN!E11</f>
        <v>0</v>
      </c>
      <c r="T15" s="1468">
        <f>S15</f>
        <v>0</v>
      </c>
      <c r="U15" s="1468"/>
      <c r="V15" s="1469"/>
      <c r="W15" s="1470"/>
      <c r="X15" s="1468"/>
      <c r="Y15" s="1472">
        <f>R.HN!F11</f>
        <v>0</v>
      </c>
      <c r="Z15" s="1468">
        <f>Y15</f>
        <v>0</v>
      </c>
      <c r="AA15" s="1468"/>
      <c r="AB15" s="1469"/>
      <c r="AC15" s="1470"/>
      <c r="AD15" s="1468"/>
      <c r="AE15" s="1472">
        <f>R.HN!G11</f>
        <v>0</v>
      </c>
      <c r="AF15" s="1468">
        <f>AE15</f>
        <v>0</v>
      </c>
      <c r="AG15" s="1468"/>
      <c r="AH15" s="1469"/>
      <c r="AI15" s="1470"/>
      <c r="AJ15" s="1468"/>
      <c r="AK15" s="1472">
        <f>R.HN!H11</f>
        <v>0</v>
      </c>
      <c r="AL15" s="1468">
        <f>AK15</f>
        <v>0</v>
      </c>
      <c r="AM15" s="1468"/>
      <c r="AN15" s="1469"/>
      <c r="AO15" s="1470"/>
      <c r="AP15" s="271"/>
      <c r="AQ15" s="12" t="s">
        <v>425</v>
      </c>
    </row>
    <row r="16" spans="1:43" ht="33" hidden="1" customHeight="1">
      <c r="A16" s="1106" t="s">
        <v>72</v>
      </c>
      <c r="B16" s="302"/>
      <c r="C16" s="302"/>
      <c r="D16" s="302"/>
      <c r="E16" s="295"/>
      <c r="F16" s="302"/>
      <c r="G16" s="302"/>
      <c r="H16" s="302"/>
      <c r="I16" s="302"/>
      <c r="J16" s="302"/>
      <c r="K16" s="302"/>
      <c r="L16" s="302"/>
      <c r="M16" s="302"/>
      <c r="N16" s="307"/>
      <c r="O16" s="302"/>
      <c r="P16" s="302"/>
      <c r="Q16" s="302"/>
      <c r="R16" s="307"/>
      <c r="S16" s="302"/>
      <c r="T16" s="307"/>
      <c r="U16" s="302"/>
      <c r="V16" s="302"/>
      <c r="W16" s="302"/>
      <c r="X16" s="302"/>
      <c r="Y16" s="302"/>
      <c r="Z16" s="302"/>
      <c r="AA16" s="302"/>
      <c r="AB16" s="302"/>
      <c r="AC16" s="302"/>
      <c r="AD16" s="302"/>
      <c r="AE16" s="307"/>
      <c r="AF16" s="307"/>
      <c r="AG16" s="307"/>
      <c r="AH16" s="307"/>
      <c r="AI16" s="307"/>
      <c r="AJ16" s="307"/>
      <c r="AK16" s="307"/>
      <c r="AL16" s="307"/>
      <c r="AM16" s="307"/>
      <c r="AN16" s="307"/>
      <c r="AO16" s="307"/>
      <c r="AP16" s="1107"/>
    </row>
    <row r="17" spans="1:43" ht="47.25" hidden="1" customHeight="1">
      <c r="A17" s="1095" t="s">
        <v>236</v>
      </c>
      <c r="B17" s="3140" t="s">
        <v>60</v>
      </c>
      <c r="C17" s="3142"/>
      <c r="D17" s="276" t="s">
        <v>62</v>
      </c>
      <c r="E17" s="276" t="s">
        <v>63</v>
      </c>
      <c r="F17" s="414"/>
      <c r="G17" s="414"/>
      <c r="H17" s="303" t="s">
        <v>45</v>
      </c>
      <c r="I17" s="304"/>
      <c r="J17" s="304"/>
      <c r="K17" s="303" t="s">
        <v>61</v>
      </c>
      <c r="L17" s="305"/>
      <c r="M17" s="276"/>
      <c r="N17" s="303" t="s">
        <v>45</v>
      </c>
      <c r="O17" s="304"/>
      <c r="P17" s="304"/>
      <c r="Q17" s="303" t="s">
        <v>61</v>
      </c>
      <c r="R17" s="305"/>
      <c r="S17" s="1108"/>
      <c r="T17" s="303" t="s">
        <v>45</v>
      </c>
      <c r="U17" s="304"/>
      <c r="V17" s="304"/>
      <c r="W17" s="303" t="s">
        <v>61</v>
      </c>
      <c r="X17" s="305"/>
      <c r="Y17" s="1109"/>
      <c r="Z17" s="303" t="s">
        <v>45</v>
      </c>
      <c r="AA17" s="304"/>
      <c r="AB17" s="304"/>
      <c r="AC17" s="303" t="s">
        <v>61</v>
      </c>
      <c r="AD17" s="305"/>
      <c r="AE17" s="1109"/>
      <c r="AF17" s="303" t="s">
        <v>45</v>
      </c>
      <c r="AG17" s="304"/>
      <c r="AH17" s="304"/>
      <c r="AI17" s="303" t="s">
        <v>61</v>
      </c>
      <c r="AJ17" s="305"/>
      <c r="AK17" s="1109"/>
      <c r="AL17" s="303" t="s">
        <v>45</v>
      </c>
      <c r="AM17" s="304"/>
      <c r="AN17" s="304"/>
      <c r="AO17" s="303" t="s">
        <v>61</v>
      </c>
      <c r="AP17" s="305"/>
    </row>
    <row r="18" spans="1:43" ht="38.25" hidden="1" customHeight="1">
      <c r="A18" s="1095" t="s">
        <v>442</v>
      </c>
      <c r="B18" s="3140" t="s">
        <v>443</v>
      </c>
      <c r="C18" s="3142"/>
      <c r="D18" s="246" t="s">
        <v>194</v>
      </c>
      <c r="E18" s="47" t="s">
        <v>1054</v>
      </c>
      <c r="F18" s="415"/>
      <c r="G18" s="415"/>
      <c r="H18" s="3802">
        <f>'R.FILE GOC'!H18</f>
        <v>0</v>
      </c>
      <c r="I18" s="3802"/>
      <c r="J18" s="3802"/>
      <c r="K18" s="3802">
        <f>'R.FILE GOC'!K18</f>
        <v>0</v>
      </c>
      <c r="L18" s="3802"/>
      <c r="M18" s="1460"/>
      <c r="N18" s="3802">
        <f>'R.FILE GOC'!N18</f>
        <v>0</v>
      </c>
      <c r="O18" s="3802"/>
      <c r="P18" s="3802"/>
      <c r="Q18" s="3802">
        <f>'R.FILE GOC'!Q18</f>
        <v>0</v>
      </c>
      <c r="R18" s="3802"/>
      <c r="S18" s="1460"/>
      <c r="T18" s="3802">
        <f>'R.FILE GOC'!T18</f>
        <v>0</v>
      </c>
      <c r="U18" s="3802"/>
      <c r="V18" s="3802"/>
      <c r="W18" s="3802">
        <f>'R.FILE GOC'!W18</f>
        <v>0</v>
      </c>
      <c r="X18" s="3802"/>
      <c r="Y18" s="1460"/>
      <c r="Z18" s="3802">
        <f>'R.FILE GOC'!Z18</f>
        <v>0</v>
      </c>
      <c r="AA18" s="3802"/>
      <c r="AB18" s="3802"/>
      <c r="AC18" s="3802">
        <f>'R.FILE GOC'!AC18</f>
        <v>0</v>
      </c>
      <c r="AD18" s="3802"/>
      <c r="AE18" s="1460"/>
      <c r="AF18" s="3802">
        <f>'R.FILE GOC'!AF18</f>
        <v>0</v>
      </c>
      <c r="AG18" s="3802"/>
      <c r="AH18" s="3802"/>
      <c r="AI18" s="3802">
        <f>'R.FILE GOC'!AI18</f>
        <v>0</v>
      </c>
      <c r="AJ18" s="3802"/>
      <c r="AK18" s="1460"/>
      <c r="AL18" s="3802">
        <f>'R.FILE GOC'!AL18</f>
        <v>0</v>
      </c>
      <c r="AM18" s="3802"/>
      <c r="AN18" s="3802"/>
      <c r="AO18" s="3802">
        <f>'R.FILE GOC'!AO18</f>
        <v>0</v>
      </c>
      <c r="AP18" s="3802"/>
      <c r="AQ18" s="12" t="s">
        <v>425</v>
      </c>
    </row>
    <row r="19" spans="1:43" ht="38.25" hidden="1" customHeight="1">
      <c r="A19" s="1095" t="s">
        <v>444</v>
      </c>
      <c r="B19" s="3140" t="s">
        <v>445</v>
      </c>
      <c r="C19" s="3142"/>
      <c r="D19" s="246" t="s">
        <v>194</v>
      </c>
      <c r="E19" s="47" t="s">
        <v>1054</v>
      </c>
      <c r="F19" s="415"/>
      <c r="G19" s="415"/>
      <c r="H19" s="3802">
        <f>'R.FILE GOC'!H19</f>
        <v>0</v>
      </c>
      <c r="I19" s="3802"/>
      <c r="J19" s="3802"/>
      <c r="K19" s="3802">
        <f>'R.FILE GOC'!K19</f>
        <v>0</v>
      </c>
      <c r="L19" s="3802"/>
      <c r="M19" s="1460"/>
      <c r="N19" s="3802">
        <f>'R.FILE GOC'!N19</f>
        <v>0</v>
      </c>
      <c r="O19" s="3802"/>
      <c r="P19" s="3802"/>
      <c r="Q19" s="3802">
        <f>'R.FILE GOC'!Q19</f>
        <v>0</v>
      </c>
      <c r="R19" s="3802"/>
      <c r="S19" s="1460"/>
      <c r="T19" s="3802">
        <f>'R.FILE GOC'!T19</f>
        <v>0</v>
      </c>
      <c r="U19" s="3802"/>
      <c r="V19" s="3802"/>
      <c r="W19" s="3802">
        <f>'R.FILE GOC'!W19</f>
        <v>0</v>
      </c>
      <c r="X19" s="3802"/>
      <c r="Y19" s="1460"/>
      <c r="Z19" s="3802">
        <f>'R.FILE GOC'!Z19</f>
        <v>0</v>
      </c>
      <c r="AA19" s="3802"/>
      <c r="AB19" s="3802"/>
      <c r="AC19" s="3802">
        <f>'R.FILE GOC'!AC19</f>
        <v>0</v>
      </c>
      <c r="AD19" s="3802"/>
      <c r="AE19" s="1460"/>
      <c r="AF19" s="3802">
        <f>'R.FILE GOC'!AF19</f>
        <v>0</v>
      </c>
      <c r="AG19" s="3802"/>
      <c r="AH19" s="3802"/>
      <c r="AI19" s="3802">
        <f>'R.FILE GOC'!AI19</f>
        <v>0</v>
      </c>
      <c r="AJ19" s="3802"/>
      <c r="AK19" s="1460"/>
      <c r="AL19" s="3802">
        <f>'R.FILE GOC'!AL19</f>
        <v>0</v>
      </c>
      <c r="AM19" s="3802"/>
      <c r="AN19" s="3802"/>
      <c r="AO19" s="3802">
        <f>'R.FILE GOC'!AO19</f>
        <v>0</v>
      </c>
      <c r="AP19" s="3802"/>
      <c r="AQ19" s="12" t="s">
        <v>425</v>
      </c>
    </row>
    <row r="20" spans="1:43" ht="38.25" hidden="1" customHeight="1">
      <c r="A20" s="1095" t="s">
        <v>446</v>
      </c>
      <c r="B20" s="3140" t="s">
        <v>438</v>
      </c>
      <c r="C20" s="3142"/>
      <c r="D20" s="246" t="s">
        <v>194</v>
      </c>
      <c r="E20" s="47" t="s">
        <v>1055</v>
      </c>
      <c r="F20" s="415"/>
      <c r="G20" s="415"/>
      <c r="H20" s="3802">
        <f>'R.FILE GOC'!H20</f>
        <v>0</v>
      </c>
      <c r="I20" s="3802"/>
      <c r="J20" s="3802"/>
      <c r="K20" s="3802">
        <f>'R.FILE GOC'!K20</f>
        <v>0</v>
      </c>
      <c r="L20" s="3802"/>
      <c r="M20" s="1460"/>
      <c r="N20" s="3802">
        <f>'R.FILE GOC'!N20</f>
        <v>0</v>
      </c>
      <c r="O20" s="3802"/>
      <c r="P20" s="3802"/>
      <c r="Q20" s="3802">
        <f>'R.FILE GOC'!Q20</f>
        <v>0</v>
      </c>
      <c r="R20" s="3802"/>
      <c r="S20" s="1460"/>
      <c r="T20" s="3802">
        <f>'R.FILE GOC'!T20</f>
        <v>0</v>
      </c>
      <c r="U20" s="3802"/>
      <c r="V20" s="3802"/>
      <c r="W20" s="3802">
        <f>'R.FILE GOC'!W20</f>
        <v>0</v>
      </c>
      <c r="X20" s="3802"/>
      <c r="Y20" s="1460"/>
      <c r="Z20" s="3802">
        <f>'R.FILE GOC'!Z20</f>
        <v>0</v>
      </c>
      <c r="AA20" s="3802"/>
      <c r="AB20" s="3802"/>
      <c r="AC20" s="3802">
        <f>'R.FILE GOC'!AC20</f>
        <v>0</v>
      </c>
      <c r="AD20" s="3802"/>
      <c r="AE20" s="1460"/>
      <c r="AF20" s="3802">
        <f>'R.FILE GOC'!AF20</f>
        <v>0</v>
      </c>
      <c r="AG20" s="3802"/>
      <c r="AH20" s="3802"/>
      <c r="AI20" s="3802">
        <f>'R.FILE GOC'!AI20</f>
        <v>0</v>
      </c>
      <c r="AJ20" s="3802"/>
      <c r="AK20" s="1460"/>
      <c r="AL20" s="3802">
        <f>'R.FILE GOC'!AL20</f>
        <v>0</v>
      </c>
      <c r="AM20" s="3802"/>
      <c r="AN20" s="3802"/>
      <c r="AO20" s="3802">
        <f>'R.FILE GOC'!AO20</f>
        <v>0</v>
      </c>
      <c r="AP20" s="3802"/>
      <c r="AQ20" s="12" t="s">
        <v>425</v>
      </c>
    </row>
    <row r="21" spans="1:43" ht="27" customHeight="1">
      <c r="A21" s="416"/>
      <c r="B21" s="416"/>
      <c r="C21" s="416"/>
      <c r="D21" s="416"/>
      <c r="E21" s="416"/>
      <c r="F21" s="416"/>
      <c r="G21" s="416"/>
      <c r="H21" s="416"/>
      <c r="I21" s="416"/>
      <c r="J21" s="416"/>
      <c r="K21" s="416"/>
      <c r="L21" s="416"/>
      <c r="M21" s="416"/>
      <c r="N21" s="416"/>
      <c r="O21" s="416"/>
      <c r="P21" s="416"/>
      <c r="Q21" s="416"/>
      <c r="R21" s="416"/>
      <c r="S21" s="416"/>
      <c r="T21" s="416"/>
      <c r="U21" s="416"/>
      <c r="V21" s="416"/>
      <c r="W21" s="416"/>
      <c r="X21" s="416"/>
      <c r="Y21" s="416"/>
      <c r="Z21" s="416"/>
      <c r="AA21" s="416"/>
      <c r="AB21" s="416"/>
      <c r="AC21" s="416"/>
      <c r="AD21" s="416"/>
      <c r="AP21" s="12"/>
    </row>
    <row r="22" spans="1:43" ht="36" customHeight="1">
      <c r="A22" s="1968" t="s">
        <v>1056</v>
      </c>
      <c r="B22" s="1969"/>
      <c r="C22" s="1970"/>
      <c r="D22" s="1970"/>
      <c r="E22" s="2079"/>
      <c r="F22" s="1971" t="s">
        <v>71</v>
      </c>
      <c r="G22" s="1972"/>
      <c r="H22" s="1973" t="s">
        <v>71</v>
      </c>
      <c r="I22" s="1973"/>
      <c r="J22" s="1973"/>
      <c r="K22" s="1973"/>
      <c r="L22" s="1973"/>
      <c r="M22" s="1973"/>
      <c r="N22" s="1973"/>
      <c r="O22" s="1973"/>
      <c r="P22" s="1973"/>
      <c r="Q22" s="1973"/>
      <c r="R22" s="1973"/>
      <c r="S22" s="1973"/>
      <c r="T22" s="1973"/>
      <c r="U22" s="1973"/>
      <c r="V22" s="1973"/>
      <c r="W22" s="1973"/>
      <c r="X22" s="1973"/>
      <c r="Y22" s="1973"/>
      <c r="Z22" s="1973"/>
      <c r="AA22" s="1973"/>
      <c r="AB22" s="1973"/>
      <c r="AC22" s="1973"/>
      <c r="AD22" s="1973"/>
      <c r="AE22" s="1973"/>
      <c r="AF22" s="1973"/>
      <c r="AG22" s="1973"/>
      <c r="AH22" s="1973"/>
      <c r="AI22" s="1974"/>
      <c r="AJ22" s="1973"/>
      <c r="AK22" s="1973"/>
      <c r="AL22" s="1973"/>
      <c r="AM22" s="1973"/>
      <c r="AN22" s="1973"/>
      <c r="AO22" s="1973"/>
      <c r="AP22" s="1973"/>
    </row>
    <row r="23" spans="1:43" ht="30" customHeight="1">
      <c r="A23" s="399"/>
      <c r="B23" s="3818" t="s">
        <v>75</v>
      </c>
      <c r="C23" s="3819"/>
      <c r="D23" s="3119" t="s">
        <v>123</v>
      </c>
      <c r="E23" s="3810" t="s">
        <v>63</v>
      </c>
      <c r="F23" s="418"/>
      <c r="G23" s="419"/>
      <c r="H23" s="3567" t="s">
        <v>469</v>
      </c>
      <c r="I23" s="3567"/>
      <c r="J23" s="3567"/>
      <c r="K23" s="3567"/>
      <c r="L23" s="3567"/>
      <c r="M23" s="1222"/>
      <c r="N23" s="3560" t="s">
        <v>1449</v>
      </c>
      <c r="O23" s="3560"/>
      <c r="P23" s="3560"/>
      <c r="Q23" s="3560"/>
      <c r="R23" s="3560"/>
      <c r="S23" s="1222"/>
      <c r="T23" s="3567" t="s">
        <v>1450</v>
      </c>
      <c r="U23" s="3567"/>
      <c r="V23" s="3567"/>
      <c r="W23" s="3567"/>
      <c r="X23" s="3567"/>
      <c r="Y23" s="1222"/>
      <c r="Z23" s="3567" t="s">
        <v>1451</v>
      </c>
      <c r="AA23" s="3567"/>
      <c r="AB23" s="3567"/>
      <c r="AC23" s="3567"/>
      <c r="AD23" s="3567"/>
      <c r="AE23" s="1222"/>
      <c r="AF23" s="3567" t="s">
        <v>1452</v>
      </c>
      <c r="AG23" s="3567"/>
      <c r="AH23" s="3567"/>
      <c r="AI23" s="3567"/>
      <c r="AJ23" s="3567"/>
      <c r="AK23" s="1222"/>
      <c r="AL23" s="3567" t="s">
        <v>1453</v>
      </c>
      <c r="AM23" s="3567"/>
      <c r="AN23" s="3567"/>
      <c r="AO23" s="3567"/>
      <c r="AP23" s="3567"/>
    </row>
    <row r="24" spans="1:43" ht="30" customHeight="1">
      <c r="A24" s="436" t="s">
        <v>236</v>
      </c>
      <c r="B24" s="3820"/>
      <c r="C24" s="3821"/>
      <c r="D24" s="3809"/>
      <c r="E24" s="3811"/>
      <c r="F24" s="404" t="s">
        <v>420</v>
      </c>
      <c r="G24" s="405"/>
      <c r="H24" s="1063" t="s">
        <v>728</v>
      </c>
      <c r="I24" s="294" t="s">
        <v>1</v>
      </c>
      <c r="J24" s="3812" t="s">
        <v>1</v>
      </c>
      <c r="K24" s="3812"/>
      <c r="L24" s="3812"/>
      <c r="M24" s="1094"/>
      <c r="N24" s="1063" t="s">
        <v>728</v>
      </c>
      <c r="O24" s="294" t="s">
        <v>1</v>
      </c>
      <c r="P24" s="3812" t="s">
        <v>1</v>
      </c>
      <c r="Q24" s="3812"/>
      <c r="R24" s="3813"/>
      <c r="S24" s="405"/>
      <c r="T24" s="1063" t="s">
        <v>728</v>
      </c>
      <c r="U24" s="294" t="s">
        <v>1</v>
      </c>
      <c r="V24" s="3812" t="s">
        <v>1</v>
      </c>
      <c r="W24" s="3812"/>
      <c r="X24" s="3813"/>
      <c r="Y24" s="1094"/>
      <c r="Z24" s="1063" t="s">
        <v>728</v>
      </c>
      <c r="AA24" s="294" t="s">
        <v>1</v>
      </c>
      <c r="AB24" s="3814" t="s">
        <v>1</v>
      </c>
      <c r="AC24" s="3814"/>
      <c r="AD24" s="3814"/>
      <c r="AE24" s="405"/>
      <c r="AF24" s="1063" t="s">
        <v>728</v>
      </c>
      <c r="AG24" s="294" t="s">
        <v>1</v>
      </c>
      <c r="AH24" s="3812" t="s">
        <v>1</v>
      </c>
      <c r="AI24" s="3812"/>
      <c r="AJ24" s="3813"/>
      <c r="AK24" s="1094"/>
      <c r="AL24" s="1063" t="s">
        <v>728</v>
      </c>
      <c r="AM24" s="294" t="s">
        <v>1</v>
      </c>
      <c r="AN24" s="3814" t="s">
        <v>1</v>
      </c>
      <c r="AO24" s="3814"/>
      <c r="AP24" s="3814"/>
    </row>
    <row r="25" spans="1:43" ht="35.25" customHeight="1">
      <c r="A25" s="1095" t="s">
        <v>1057</v>
      </c>
      <c r="B25" s="3137" t="s">
        <v>447</v>
      </c>
      <c r="C25" s="3743"/>
      <c r="D25" s="420" t="s">
        <v>429</v>
      </c>
      <c r="E25" s="47" t="s">
        <v>448</v>
      </c>
      <c r="F25" s="410">
        <v>40</v>
      </c>
      <c r="G25" s="407">
        <f>R.HN!C16</f>
        <v>4.0999999999999996</v>
      </c>
      <c r="H25" s="1468">
        <f>G25*10</f>
        <v>41</v>
      </c>
      <c r="I25" s="1468">
        <f>($F$25-H25)*2330/1000</f>
        <v>-2.33</v>
      </c>
      <c r="J25" s="1469" t="s">
        <v>8</v>
      </c>
      <c r="K25" s="1459">
        <f>IF(H25=0,0,IF(I25&lt;0,0,I25))</f>
        <v>0</v>
      </c>
      <c r="L25" s="1469" t="s">
        <v>9</v>
      </c>
      <c r="M25" s="1470">
        <f>R.HN!D16</f>
        <v>4</v>
      </c>
      <c r="N25" s="1468">
        <f>M25*10</f>
        <v>40</v>
      </c>
      <c r="O25" s="1468">
        <f>($F$25-N25)*2330/1000</f>
        <v>0</v>
      </c>
      <c r="P25" s="1469" t="s">
        <v>8</v>
      </c>
      <c r="Q25" s="1459">
        <f>IF(N25=0,0,IF(O25&lt;0,0,O25))</f>
        <v>0</v>
      </c>
      <c r="R25" s="1469" t="s">
        <v>9</v>
      </c>
      <c r="S25" s="1470">
        <f>R.HN!E16</f>
        <v>3.8</v>
      </c>
      <c r="T25" s="1468">
        <f>S25*10</f>
        <v>38</v>
      </c>
      <c r="U25" s="1468">
        <f>($F$25-T25)*2330/1000</f>
        <v>4.66</v>
      </c>
      <c r="V25" s="1469" t="s">
        <v>8</v>
      </c>
      <c r="W25" s="1459">
        <f>IF(T25=0,0,IF(U25&lt;0,0,U25))</f>
        <v>4.66</v>
      </c>
      <c r="X25" s="1469" t="s">
        <v>9</v>
      </c>
      <c r="Y25" s="1470">
        <f>R.HN!F16</f>
        <v>4</v>
      </c>
      <c r="Z25" s="1468">
        <f>Y25*10</f>
        <v>40</v>
      </c>
      <c r="AA25" s="1468">
        <f>($F$25-Z25)*2330/1000</f>
        <v>0</v>
      </c>
      <c r="AB25" s="1469" t="s">
        <v>8</v>
      </c>
      <c r="AC25" s="1459">
        <f>IF(Z25=0,0,IF(AA25&lt;0,0,AA25))</f>
        <v>0</v>
      </c>
      <c r="AD25" s="1469" t="s">
        <v>9</v>
      </c>
      <c r="AE25" s="1470">
        <f>R.HN!G16</f>
        <v>5.4</v>
      </c>
      <c r="AF25" s="1468">
        <f>AE25*10</f>
        <v>54</v>
      </c>
      <c r="AG25" s="1468">
        <f>($F$25-AF25)*2330/1000</f>
        <v>-32.619999999999997</v>
      </c>
      <c r="AH25" s="1469" t="s">
        <v>8</v>
      </c>
      <c r="AI25" s="1459">
        <f>IF(AF25=0,0,IF(AG25&lt;0,0,AG25))</f>
        <v>0</v>
      </c>
      <c r="AJ25" s="1469" t="s">
        <v>9</v>
      </c>
      <c r="AK25" s="1470">
        <f>R.HN!H16</f>
        <v>3.8</v>
      </c>
      <c r="AL25" s="1468">
        <f>AK25*10</f>
        <v>38</v>
      </c>
      <c r="AM25" s="1468">
        <f>($F$25-AL25)*2330/1000</f>
        <v>4.66</v>
      </c>
      <c r="AN25" s="1469" t="s">
        <v>8</v>
      </c>
      <c r="AO25" s="1459">
        <f>IF(AL25=0,0,IF(AM25&lt;0,0,AM25))</f>
        <v>4.66</v>
      </c>
      <c r="AP25" s="271" t="s">
        <v>9</v>
      </c>
      <c r="AQ25" s="12" t="s">
        <v>449</v>
      </c>
    </row>
    <row r="26" spans="1:43" ht="30" customHeight="1">
      <c r="A26" s="1095" t="s">
        <v>1058</v>
      </c>
      <c r="B26" s="3137" t="s">
        <v>835</v>
      </c>
      <c r="C26" s="3743"/>
      <c r="D26" s="46" t="s">
        <v>3</v>
      </c>
      <c r="E26" s="47" t="s">
        <v>424</v>
      </c>
      <c r="F26" s="406">
        <v>12.5</v>
      </c>
      <c r="G26" s="407">
        <f>R.HN!C17</f>
        <v>2.9</v>
      </c>
      <c r="H26" s="1468">
        <f>(1*G26*36.5)/(1*10)</f>
        <v>10.584999999999999</v>
      </c>
      <c r="I26" s="1468">
        <f>($F$26-H26)*2605/32</f>
        <v>155.89296875000008</v>
      </c>
      <c r="J26" s="1469" t="s">
        <v>8</v>
      </c>
      <c r="K26" s="1459">
        <f>IF(H26=0,0,IF(I26&lt;0,0,I26))</f>
        <v>155.89296875000008</v>
      </c>
      <c r="L26" s="1469" t="s">
        <v>10</v>
      </c>
      <c r="M26" s="1470">
        <f>R.HN!D17</f>
        <v>3.1</v>
      </c>
      <c r="N26" s="1468">
        <f>(1*M26*36.5)/(1*10)</f>
        <v>11.315000000000001</v>
      </c>
      <c r="O26" s="1468">
        <f>($F$26-N26)*2605/32</f>
        <v>96.466406249999892</v>
      </c>
      <c r="P26" s="1469" t="s">
        <v>8</v>
      </c>
      <c r="Q26" s="1459">
        <f>IF(N26=0,0,IF(O26&lt;0,0,O26))</f>
        <v>96.466406249999892</v>
      </c>
      <c r="R26" s="1469" t="s">
        <v>10</v>
      </c>
      <c r="S26" s="1470">
        <f>R.HN!E17</f>
        <v>2.7</v>
      </c>
      <c r="T26" s="1468">
        <f>(1*S26*36.5)/(1*10)</f>
        <v>9.8550000000000004</v>
      </c>
      <c r="U26" s="1468">
        <f>($F$26-T26)*2605/32</f>
        <v>215.31953124999995</v>
      </c>
      <c r="V26" s="1469" t="s">
        <v>8</v>
      </c>
      <c r="W26" s="1459">
        <f>IF(T26=0,0,IF(U26&lt;0,0,U26))</f>
        <v>215.31953124999995</v>
      </c>
      <c r="X26" s="1469" t="s">
        <v>10</v>
      </c>
      <c r="Y26" s="1470">
        <f>R.HN!F17</f>
        <v>2.9</v>
      </c>
      <c r="Z26" s="1468">
        <f>(1*Y26*36.5)/(1*10)</f>
        <v>10.584999999999999</v>
      </c>
      <c r="AA26" s="1468">
        <f>($F$26-Z26)*2605/32</f>
        <v>155.89296875000008</v>
      </c>
      <c r="AB26" s="1469" t="s">
        <v>8</v>
      </c>
      <c r="AC26" s="1459">
        <f>IF(Z26=0,0,IF(AA26&lt;0,0,AA26))</f>
        <v>155.89296875000008</v>
      </c>
      <c r="AD26" s="1469" t="s">
        <v>10</v>
      </c>
      <c r="AE26" s="1470">
        <f>R.HN!G17</f>
        <v>2.6</v>
      </c>
      <c r="AF26" s="1468">
        <f>(1*AE26*36.5)/(1*10)</f>
        <v>9.49</v>
      </c>
      <c r="AG26" s="1468">
        <f>($F$26-AF26)*2605/32</f>
        <v>245.03281249999998</v>
      </c>
      <c r="AH26" s="1469" t="s">
        <v>8</v>
      </c>
      <c r="AI26" s="1459">
        <f>IF(AF26=0,0,IF(AG26&lt;0,0,AG26))</f>
        <v>245.03281249999998</v>
      </c>
      <c r="AJ26" s="1469" t="s">
        <v>10</v>
      </c>
      <c r="AK26" s="1470">
        <f>R.HN!H17</f>
        <v>2.4</v>
      </c>
      <c r="AL26" s="1468">
        <f>(1*AK26*36.5)/(1*10)</f>
        <v>8.76</v>
      </c>
      <c r="AM26" s="1468">
        <f>($F$26-AL26)*2605/32</f>
        <v>304.45937500000002</v>
      </c>
      <c r="AN26" s="1469" t="s">
        <v>8</v>
      </c>
      <c r="AO26" s="1459">
        <f>IF(AL26=0,0,IF(AM26&lt;0,0,AM26))</f>
        <v>304.45937500000002</v>
      </c>
      <c r="AP26" s="271" t="s">
        <v>10</v>
      </c>
      <c r="AQ26" s="12" t="s">
        <v>449</v>
      </c>
    </row>
    <row r="27" spans="1:43" ht="30" customHeight="1">
      <c r="A27" s="1095" t="s">
        <v>1059</v>
      </c>
      <c r="B27" s="1098" t="s">
        <v>782</v>
      </c>
      <c r="C27" s="1110"/>
      <c r="D27" s="1099" t="s">
        <v>429</v>
      </c>
      <c r="E27" s="47" t="s">
        <v>1402</v>
      </c>
      <c r="F27" s="421">
        <v>50</v>
      </c>
      <c r="G27" s="407">
        <f>R.HN!C18</f>
        <v>4.25</v>
      </c>
      <c r="H27" s="1468">
        <f>G27*10</f>
        <v>42.5</v>
      </c>
      <c r="I27" s="1468">
        <f>($F$43-H27)*4935/1000</f>
        <v>37.012500000000003</v>
      </c>
      <c r="J27" s="1469" t="s">
        <v>8</v>
      </c>
      <c r="K27" s="1459">
        <f>IF(H27=0,0,IF(I27&lt;0,0,I27))</f>
        <v>37.012500000000003</v>
      </c>
      <c r="L27" s="1469" t="s">
        <v>9</v>
      </c>
      <c r="M27" s="1470">
        <f>R.HN!D18</f>
        <v>5</v>
      </c>
      <c r="N27" s="1468">
        <f>M27*10</f>
        <v>50</v>
      </c>
      <c r="O27" s="1468">
        <f>($F$43-N27)*4935/1000</f>
        <v>0</v>
      </c>
      <c r="P27" s="1469" t="s">
        <v>8</v>
      </c>
      <c r="Q27" s="1459">
        <f>IF(N27=0,0,IF(O27&lt;0,0,O27))</f>
        <v>0</v>
      </c>
      <c r="R27" s="1469" t="s">
        <v>9</v>
      </c>
      <c r="S27" s="1470">
        <f>R.HN!E18</f>
        <v>4.3</v>
      </c>
      <c r="T27" s="1468">
        <f>S27*10</f>
        <v>43</v>
      </c>
      <c r="U27" s="1468">
        <f>($F$43-T27)*4935/1000</f>
        <v>34.545000000000002</v>
      </c>
      <c r="V27" s="1469" t="s">
        <v>8</v>
      </c>
      <c r="W27" s="1459">
        <f>IF(T27=0,0,IF(U27&lt;0,0,U27))</f>
        <v>34.545000000000002</v>
      </c>
      <c r="X27" s="1469" t="s">
        <v>9</v>
      </c>
      <c r="Y27" s="1470">
        <f>R.HN!F18</f>
        <v>4.8</v>
      </c>
      <c r="Z27" s="1468">
        <f>Y27*10</f>
        <v>48</v>
      </c>
      <c r="AA27" s="1468">
        <f>($F$43-Z27)*4935/1000</f>
        <v>9.8699999999999992</v>
      </c>
      <c r="AB27" s="1469" t="s">
        <v>8</v>
      </c>
      <c r="AC27" s="1459">
        <f>IF(Z27=0,0,IF(AA27&lt;0,0,AA27))</f>
        <v>9.8699999999999992</v>
      </c>
      <c r="AD27" s="1469" t="s">
        <v>9</v>
      </c>
      <c r="AE27" s="1470">
        <f>R.HN!G18</f>
        <v>4.7</v>
      </c>
      <c r="AF27" s="1468">
        <f>AE27*10</f>
        <v>47</v>
      </c>
      <c r="AG27" s="1468">
        <f>($F$43-AF27)*4935/1000</f>
        <v>14.805</v>
      </c>
      <c r="AH27" s="1469" t="s">
        <v>8</v>
      </c>
      <c r="AI27" s="1459">
        <f>IF(AF27=0,0,IF(AG27&lt;0,0,AG27))</f>
        <v>14.805</v>
      </c>
      <c r="AJ27" s="1469" t="s">
        <v>9</v>
      </c>
      <c r="AK27" s="1470">
        <f>R.HN!H18</f>
        <v>4.4000000000000004</v>
      </c>
      <c r="AL27" s="1468">
        <f>AK27*10</f>
        <v>44</v>
      </c>
      <c r="AM27" s="1468">
        <f>($F$43-AL27)*4935/1000</f>
        <v>29.61</v>
      </c>
      <c r="AN27" s="1469" t="s">
        <v>8</v>
      </c>
      <c r="AO27" s="1459">
        <f>IF(AL27=0,0,IF(AM27&lt;0,0,AM27))</f>
        <v>29.61</v>
      </c>
      <c r="AP27" s="271" t="s">
        <v>9</v>
      </c>
      <c r="AQ27" s="12" t="s">
        <v>449</v>
      </c>
    </row>
    <row r="28" spans="1:43" ht="30" customHeight="1">
      <c r="A28" s="1095" t="s">
        <v>1060</v>
      </c>
      <c r="B28" s="1100" t="s">
        <v>783</v>
      </c>
      <c r="C28" s="1111"/>
      <c r="D28" s="1099" t="s">
        <v>429</v>
      </c>
      <c r="E28" s="47" t="s">
        <v>1052</v>
      </c>
      <c r="F28" s="407">
        <v>6.5</v>
      </c>
      <c r="G28" s="407">
        <f>R.HN!C19</f>
        <v>5.7</v>
      </c>
      <c r="H28" s="1468">
        <f>IFERROR(H27/G28,0)</f>
        <v>7.4561403508771926</v>
      </c>
      <c r="I28" s="1468">
        <f>($F$44-H28)*4935/1000</f>
        <v>-4.7185526315789454</v>
      </c>
      <c r="J28" s="1469"/>
      <c r="K28" s="1459">
        <f>IF(H28=0,0,IF(I28&lt;0,0,I28))</f>
        <v>0</v>
      </c>
      <c r="L28" s="1469" t="s">
        <v>9</v>
      </c>
      <c r="M28" s="1471">
        <f>R.HN!D19</f>
        <v>6</v>
      </c>
      <c r="N28" s="1468">
        <f>IFERROR(N27/M28,0)</f>
        <v>8.3333333333333339</v>
      </c>
      <c r="O28" s="1468">
        <f>($F$44-N28)*4935/1000</f>
        <v>-9.047500000000003</v>
      </c>
      <c r="P28" s="1469"/>
      <c r="Q28" s="1459">
        <f>IF(N28=0,0,IF(O28&lt;0,0,O28))</f>
        <v>0</v>
      </c>
      <c r="R28" s="1469" t="s">
        <v>9</v>
      </c>
      <c r="S28" s="1472">
        <f>R.HN!E19</f>
        <v>4.8</v>
      </c>
      <c r="T28" s="1468">
        <f>IFERROR(T27/S28,0)</f>
        <v>8.9583333333333339</v>
      </c>
      <c r="U28" s="1468">
        <f>($F$44-T28)*4935/1000</f>
        <v>-12.131875000000004</v>
      </c>
      <c r="V28" s="1469"/>
      <c r="W28" s="1459">
        <f>IF(T28=0,0,IF(U28&lt;0,0,U28))</f>
        <v>0</v>
      </c>
      <c r="X28" s="1469" t="s">
        <v>9</v>
      </c>
      <c r="Y28" s="1472">
        <f>R.HN!F19</f>
        <v>4.7</v>
      </c>
      <c r="Z28" s="1468">
        <f>IFERROR(Z27/Y28,0)</f>
        <v>10.212765957446807</v>
      </c>
      <c r="AA28" s="1468">
        <f>($F$44-Z28)*4935/1000</f>
        <v>-18.322499999999994</v>
      </c>
      <c r="AB28" s="1469"/>
      <c r="AC28" s="1459">
        <f>IF(Z28=0,0,IF(AA28&lt;0,0,AA28))</f>
        <v>0</v>
      </c>
      <c r="AD28" s="1469" t="s">
        <v>9</v>
      </c>
      <c r="AE28" s="1470">
        <f>R.HN!G19</f>
        <v>3.5</v>
      </c>
      <c r="AF28" s="1468">
        <f>IFERROR(AF27/AE28,0)</f>
        <v>13.428571428571429</v>
      </c>
      <c r="AG28" s="1468">
        <f>($F$44-AF28)*4935/1000</f>
        <v>-34.192500000000003</v>
      </c>
      <c r="AH28" s="1469"/>
      <c r="AI28" s="1459">
        <f>IF(AF28=0,0,IF(AG28&lt;0,0,AG28))</f>
        <v>0</v>
      </c>
      <c r="AJ28" s="1469" t="s">
        <v>9</v>
      </c>
      <c r="AK28" s="1470">
        <f>R.HN!H19</f>
        <v>4</v>
      </c>
      <c r="AL28" s="1468">
        <f>IFERROR(AL27/AK28,0)</f>
        <v>11</v>
      </c>
      <c r="AM28" s="1468">
        <f>($F$44-AL28)*4935/1000</f>
        <v>-22.2075</v>
      </c>
      <c r="AN28" s="1469"/>
      <c r="AO28" s="1459">
        <f>IF(AL28=0,0,IF(AM28&lt;0,0,AM28))</f>
        <v>0</v>
      </c>
      <c r="AP28" s="271" t="s">
        <v>9</v>
      </c>
      <c r="AQ28" s="12" t="s">
        <v>449</v>
      </c>
    </row>
    <row r="29" spans="1:43" ht="30" customHeight="1">
      <c r="A29" s="1095" t="s">
        <v>1061</v>
      </c>
      <c r="B29" s="1101" t="s">
        <v>784</v>
      </c>
      <c r="C29" s="1112"/>
      <c r="D29" s="1099" t="s">
        <v>429</v>
      </c>
      <c r="E29" s="47" t="s">
        <v>1053</v>
      </c>
      <c r="F29" s="423">
        <v>0.4</v>
      </c>
      <c r="G29" s="407">
        <f>R.HN!C20</f>
        <v>0.11</v>
      </c>
      <c r="H29" s="1463">
        <f>G29</f>
        <v>0.11</v>
      </c>
      <c r="I29" s="1463"/>
      <c r="J29" s="1464"/>
      <c r="K29" s="1465"/>
      <c r="L29" s="1464"/>
      <c r="M29" s="1465">
        <f>R.HN!D20</f>
        <v>0.12</v>
      </c>
      <c r="N29" s="1463">
        <f>M29</f>
        <v>0.12</v>
      </c>
      <c r="O29" s="1463"/>
      <c r="P29" s="1464"/>
      <c r="Q29" s="1465"/>
      <c r="R29" s="1464"/>
      <c r="S29" s="1465">
        <f>R.HN!E20</f>
        <v>0.14000000000000001</v>
      </c>
      <c r="T29" s="1463">
        <f>S29</f>
        <v>0.14000000000000001</v>
      </c>
      <c r="U29" s="1463"/>
      <c r="V29" s="1464"/>
      <c r="W29" s="1465"/>
      <c r="X29" s="1464"/>
      <c r="Y29" s="1465">
        <f>R.HN!F20</f>
        <v>0.14000000000000001</v>
      </c>
      <c r="Z29" s="1463">
        <f>Y29</f>
        <v>0.14000000000000001</v>
      </c>
      <c r="AA29" s="1463"/>
      <c r="AB29" s="1464"/>
      <c r="AC29" s="1465"/>
      <c r="AD29" s="1464"/>
      <c r="AE29" s="1465">
        <f>R.HN!G20</f>
        <v>0.2</v>
      </c>
      <c r="AF29" s="1463">
        <f>AE29</f>
        <v>0.2</v>
      </c>
      <c r="AG29" s="1463"/>
      <c r="AH29" s="1464"/>
      <c r="AI29" s="1465"/>
      <c r="AJ29" s="1464"/>
      <c r="AK29" s="1465">
        <f>R.HN!H20</f>
        <v>0.18</v>
      </c>
      <c r="AL29" s="1463">
        <f>AK29</f>
        <v>0.18</v>
      </c>
      <c r="AM29" s="300"/>
      <c r="AN29" s="297"/>
      <c r="AO29" s="1465"/>
      <c r="AP29" s="271"/>
      <c r="AQ29" s="12" t="s">
        <v>449</v>
      </c>
    </row>
    <row r="30" spans="1:43" ht="30" customHeight="1">
      <c r="A30" s="1095" t="s">
        <v>1062</v>
      </c>
      <c r="B30" s="1102" t="s">
        <v>438</v>
      </c>
      <c r="C30" s="1103"/>
      <c r="D30" s="1065" t="s">
        <v>429</v>
      </c>
      <c r="E30" s="47" t="s">
        <v>439</v>
      </c>
      <c r="F30" s="411">
        <v>1</v>
      </c>
      <c r="G30" s="407">
        <f>R.HN!C21</f>
        <v>1</v>
      </c>
      <c r="H30" s="1468">
        <f>G30</f>
        <v>1</v>
      </c>
      <c r="I30" s="1468">
        <f>($F$30-H30)*1234/1000</f>
        <v>0</v>
      </c>
      <c r="J30" s="1469" t="s">
        <v>8</v>
      </c>
      <c r="K30" s="1458">
        <f>IF(H30=0,0,IF(I30&lt;0,0,I30))</f>
        <v>0</v>
      </c>
      <c r="L30" s="1469" t="s">
        <v>9</v>
      </c>
      <c r="M30" s="1470">
        <f>R.HN!D21</f>
        <v>0.9</v>
      </c>
      <c r="N30" s="1468">
        <f>M30</f>
        <v>0.9</v>
      </c>
      <c r="O30" s="1468">
        <f>($F$30-N30)*1234/1000</f>
        <v>0.12339999999999998</v>
      </c>
      <c r="P30" s="1469" t="s">
        <v>8</v>
      </c>
      <c r="Q30" s="1458">
        <f>IF(N30=0,0,IF(O30&lt;0,0,O30))</f>
        <v>0.12339999999999998</v>
      </c>
      <c r="R30" s="1469" t="s">
        <v>9</v>
      </c>
      <c r="S30" s="1470">
        <f>R.HN!E21</f>
        <v>0.95</v>
      </c>
      <c r="T30" s="1468">
        <f>S30</f>
        <v>0.95</v>
      </c>
      <c r="U30" s="1468">
        <f>($F$30-T30)*1234/1000</f>
        <v>6.1700000000000053E-2</v>
      </c>
      <c r="V30" s="1469" t="s">
        <v>8</v>
      </c>
      <c r="W30" s="1458">
        <f>IF(T30=0,0,IF(U30&lt;0,0,U30))</f>
        <v>6.1700000000000053E-2</v>
      </c>
      <c r="X30" s="1469" t="s">
        <v>9</v>
      </c>
      <c r="Y30" s="1470">
        <f>R.HN!F21</f>
        <v>0.95</v>
      </c>
      <c r="Z30" s="1468">
        <f>Y30</f>
        <v>0.95</v>
      </c>
      <c r="AA30" s="1468">
        <f>($F$30-Z30)*1234/1000</f>
        <v>6.1700000000000053E-2</v>
      </c>
      <c r="AB30" s="1469" t="s">
        <v>8</v>
      </c>
      <c r="AC30" s="1458">
        <f>IF(Z30=0,0,IF(AA30&lt;0,0,AA30))</f>
        <v>6.1700000000000053E-2</v>
      </c>
      <c r="AD30" s="1469" t="s">
        <v>9</v>
      </c>
      <c r="AE30" s="1470">
        <f>R.HN!G21</f>
        <v>0.95</v>
      </c>
      <c r="AF30" s="1468">
        <f>AE30</f>
        <v>0.95</v>
      </c>
      <c r="AG30" s="1468">
        <f>($F$30-AF30)*1234/1000</f>
        <v>6.1700000000000053E-2</v>
      </c>
      <c r="AH30" s="1469" t="s">
        <v>8</v>
      </c>
      <c r="AI30" s="1458">
        <f>IF(AF30=0,0,IF(AG30&lt;0,0,AG30))</f>
        <v>6.1700000000000053E-2</v>
      </c>
      <c r="AJ30" s="1469" t="s">
        <v>9</v>
      </c>
      <c r="AK30" s="1470">
        <f>R.HN!H21</f>
        <v>0.95</v>
      </c>
      <c r="AL30" s="1468">
        <f>AK30</f>
        <v>0.95</v>
      </c>
      <c r="AM30" s="1468">
        <f>($F$30-AL30)*1234/1000</f>
        <v>6.1700000000000053E-2</v>
      </c>
      <c r="AN30" s="1469" t="s">
        <v>8</v>
      </c>
      <c r="AO30" s="1458">
        <f>IF(AL30=0,0,IF(AM30&lt;0,0,AM30))</f>
        <v>6.1700000000000053E-2</v>
      </c>
      <c r="AP30" s="1468" t="s">
        <v>9</v>
      </c>
      <c r="AQ30" s="12" t="s">
        <v>449</v>
      </c>
    </row>
    <row r="31" spans="1:43" ht="30" customHeight="1">
      <c r="A31" s="1095" t="s">
        <v>1063</v>
      </c>
      <c r="B31" s="1104" t="s">
        <v>5</v>
      </c>
      <c r="C31" s="1105"/>
      <c r="D31" s="1065" t="s">
        <v>5</v>
      </c>
      <c r="E31" s="47" t="s">
        <v>441</v>
      </c>
      <c r="F31" s="413">
        <v>9.5</v>
      </c>
      <c r="G31" s="407">
        <f>R.HN!C22</f>
        <v>10</v>
      </c>
      <c r="H31" s="1468">
        <f>G31</f>
        <v>10</v>
      </c>
      <c r="I31" s="1468"/>
      <c r="J31" s="1469"/>
      <c r="K31" s="1470"/>
      <c r="L31" s="1469"/>
      <c r="M31" s="1470">
        <f>R.HN!D22</f>
        <v>10</v>
      </c>
      <c r="N31" s="1468">
        <f>M31</f>
        <v>10</v>
      </c>
      <c r="O31" s="1468"/>
      <c r="P31" s="1469"/>
      <c r="Q31" s="1470"/>
      <c r="R31" s="1469"/>
      <c r="S31" s="1470">
        <f>R.HN!E22</f>
        <v>9.5</v>
      </c>
      <c r="T31" s="1468">
        <f>S31</f>
        <v>9.5</v>
      </c>
      <c r="U31" s="1468"/>
      <c r="V31" s="1469"/>
      <c r="W31" s="1470"/>
      <c r="X31" s="1469"/>
      <c r="Y31" s="1470">
        <f>R.HN!F22</f>
        <v>10</v>
      </c>
      <c r="Z31" s="1468">
        <f>Y31</f>
        <v>10</v>
      </c>
      <c r="AA31" s="1468"/>
      <c r="AB31" s="1469"/>
      <c r="AC31" s="1470"/>
      <c r="AD31" s="1469"/>
      <c r="AE31" s="1470">
        <f>R.HN!G22</f>
        <v>10</v>
      </c>
      <c r="AF31" s="1468">
        <f>AE31</f>
        <v>10</v>
      </c>
      <c r="AG31" s="1468"/>
      <c r="AH31" s="1469"/>
      <c r="AI31" s="1470"/>
      <c r="AJ31" s="1469"/>
      <c r="AK31" s="1470">
        <f>R.HN!H22</f>
        <v>10</v>
      </c>
      <c r="AL31" s="1468">
        <f>AK31</f>
        <v>10</v>
      </c>
      <c r="AM31" s="1468"/>
      <c r="AN31" s="1469"/>
      <c r="AO31" s="1470"/>
      <c r="AP31" s="1468"/>
      <c r="AQ31" s="12" t="s">
        <v>449</v>
      </c>
    </row>
    <row r="32" spans="1:43" ht="33" customHeight="1">
      <c r="A32" s="1106" t="s">
        <v>72</v>
      </c>
      <c r="B32" s="302"/>
      <c r="C32" s="302"/>
      <c r="D32" s="302"/>
      <c r="E32" s="295"/>
      <c r="F32" s="302"/>
      <c r="G32" s="302"/>
      <c r="H32" s="302"/>
      <c r="I32" s="302"/>
      <c r="J32" s="302"/>
      <c r="K32" s="302"/>
      <c r="L32" s="302"/>
      <c r="M32" s="302"/>
      <c r="N32" s="307"/>
      <c r="O32" s="302"/>
      <c r="P32" s="302"/>
      <c r="Q32" s="302"/>
      <c r="R32" s="307"/>
      <c r="S32" s="302"/>
      <c r="T32" s="307"/>
      <c r="U32" s="302"/>
      <c r="V32" s="302"/>
      <c r="W32" s="302"/>
      <c r="X32" s="302"/>
      <c r="Y32" s="302"/>
      <c r="Z32" s="302"/>
      <c r="AA32" s="302"/>
      <c r="AB32" s="302"/>
      <c r="AC32" s="302"/>
      <c r="AD32" s="302"/>
      <c r="AE32" s="307"/>
      <c r="AF32" s="307"/>
      <c r="AG32" s="307"/>
      <c r="AH32" s="307"/>
      <c r="AI32" s="307"/>
      <c r="AJ32" s="307"/>
      <c r="AK32" s="307"/>
      <c r="AL32" s="307"/>
      <c r="AM32" s="307"/>
      <c r="AN32" s="307"/>
      <c r="AO32" s="307"/>
      <c r="AP32" s="1107"/>
    </row>
    <row r="33" spans="1:43" ht="33.75" customHeight="1">
      <c r="A33" s="46" t="s">
        <v>236</v>
      </c>
      <c r="B33" s="3140" t="s">
        <v>60</v>
      </c>
      <c r="C33" s="3142"/>
      <c r="D33" s="276" t="s">
        <v>62</v>
      </c>
      <c r="E33" s="276" t="s">
        <v>63</v>
      </c>
      <c r="F33" s="414"/>
      <c r="G33" s="414"/>
      <c r="H33" s="303" t="s">
        <v>45</v>
      </c>
      <c r="I33" s="304"/>
      <c r="J33" s="304"/>
      <c r="K33" s="303" t="s">
        <v>61</v>
      </c>
      <c r="L33" s="305"/>
      <c r="M33" s="276"/>
      <c r="N33" s="303" t="s">
        <v>45</v>
      </c>
      <c r="O33" s="304"/>
      <c r="P33" s="304"/>
      <c r="Q33" s="303" t="s">
        <v>61</v>
      </c>
      <c r="R33" s="305"/>
      <c r="S33" s="1108"/>
      <c r="T33" s="303" t="s">
        <v>45</v>
      </c>
      <c r="U33" s="304"/>
      <c r="V33" s="304"/>
      <c r="W33" s="303" t="s">
        <v>61</v>
      </c>
      <c r="X33" s="305"/>
      <c r="Y33" s="1109"/>
      <c r="Z33" s="303" t="s">
        <v>45</v>
      </c>
      <c r="AA33" s="304"/>
      <c r="AB33" s="304"/>
      <c r="AC33" s="303" t="s">
        <v>61</v>
      </c>
      <c r="AD33" s="305"/>
      <c r="AE33" s="1109"/>
      <c r="AF33" s="303" t="s">
        <v>45</v>
      </c>
      <c r="AG33" s="304"/>
      <c r="AH33" s="304"/>
      <c r="AI33" s="303" t="s">
        <v>61</v>
      </c>
      <c r="AJ33" s="305"/>
      <c r="AK33" s="1109"/>
      <c r="AL33" s="303" t="s">
        <v>45</v>
      </c>
      <c r="AM33" s="304"/>
      <c r="AN33" s="304"/>
      <c r="AO33" s="303" t="s">
        <v>61</v>
      </c>
      <c r="AP33" s="305"/>
    </row>
    <row r="34" spans="1:43" ht="30" customHeight="1">
      <c r="A34" s="1095" t="s">
        <v>1064</v>
      </c>
      <c r="B34" s="3140" t="s">
        <v>452</v>
      </c>
      <c r="C34" s="3142"/>
      <c r="D34" s="246" t="s">
        <v>194</v>
      </c>
      <c r="E34" s="47" t="s">
        <v>1065</v>
      </c>
      <c r="F34" s="415"/>
      <c r="G34" s="415"/>
      <c r="H34" s="3591">
        <f>'R.FILE GOC'!H34</f>
        <v>0</v>
      </c>
      <c r="I34" s="3592"/>
      <c r="J34" s="3592"/>
      <c r="K34" s="3591">
        <f>'R.FILE GOC'!K34</f>
        <v>62</v>
      </c>
      <c r="L34" s="3592"/>
      <c r="M34" s="1461"/>
      <c r="N34" s="3591">
        <f>'R.FILE GOC'!N34</f>
        <v>0</v>
      </c>
      <c r="O34" s="3592"/>
      <c r="P34" s="3592"/>
      <c r="Q34" s="3591">
        <f>'R.FILE GOC'!Q34</f>
        <v>60</v>
      </c>
      <c r="R34" s="3592"/>
      <c r="S34" s="1461"/>
      <c r="T34" s="3591">
        <f>'R.FILE GOC'!T34</f>
        <v>0</v>
      </c>
      <c r="U34" s="3592"/>
      <c r="V34" s="3592"/>
      <c r="W34" s="3591">
        <f>'R.FILE GOC'!W34</f>
        <v>59</v>
      </c>
      <c r="X34" s="3592"/>
      <c r="Y34" s="1461"/>
      <c r="Z34" s="3591">
        <f>'R.FILE GOC'!Z34</f>
        <v>0</v>
      </c>
      <c r="AA34" s="3592"/>
      <c r="AB34" s="3592"/>
      <c r="AC34" s="3591">
        <f>'R.FILE GOC'!AC34</f>
        <v>60</v>
      </c>
      <c r="AD34" s="3592"/>
      <c r="AE34" s="1461"/>
      <c r="AF34" s="3591">
        <f>'R.FILE GOC'!AF34</f>
        <v>0</v>
      </c>
      <c r="AG34" s="3592"/>
      <c r="AH34" s="3592"/>
      <c r="AI34" s="3591">
        <f>'R.FILE GOC'!AI34</f>
        <v>59</v>
      </c>
      <c r="AJ34" s="3592"/>
      <c r="AK34" s="1461"/>
      <c r="AL34" s="3591">
        <f>'R.FILE GOC'!AL34</f>
        <v>0</v>
      </c>
      <c r="AM34" s="3592"/>
      <c r="AN34" s="3592"/>
      <c r="AO34" s="3802">
        <f>'R.FILE GOC'!AO34</f>
        <v>59</v>
      </c>
      <c r="AP34" s="3802"/>
      <c r="AQ34" s="12" t="s">
        <v>449</v>
      </c>
    </row>
    <row r="35" spans="1:43" ht="30" customHeight="1">
      <c r="A35" s="1095" t="s">
        <v>1066</v>
      </c>
      <c r="B35" s="3140" t="s">
        <v>729</v>
      </c>
      <c r="C35" s="3142"/>
      <c r="D35" s="246" t="s">
        <v>194</v>
      </c>
      <c r="E35" s="47" t="s">
        <v>1054</v>
      </c>
      <c r="F35" s="415"/>
      <c r="G35" s="415"/>
      <c r="H35" s="3591">
        <f>'R.FILE GOC'!H35</f>
        <v>0</v>
      </c>
      <c r="I35" s="3592"/>
      <c r="J35" s="3592"/>
      <c r="K35" s="3591">
        <f>'R.FILE GOC'!K35</f>
        <v>66</v>
      </c>
      <c r="L35" s="3592"/>
      <c r="M35" s="1461"/>
      <c r="N35" s="3591">
        <f>'R.FILE GOC'!N35</f>
        <v>0</v>
      </c>
      <c r="O35" s="3592"/>
      <c r="P35" s="3592"/>
      <c r="Q35" s="3591">
        <f>'R.FILE GOC'!Q35</f>
        <v>66</v>
      </c>
      <c r="R35" s="3592"/>
      <c r="S35" s="1461"/>
      <c r="T35" s="3591">
        <f>'R.FILE GOC'!T35</f>
        <v>0</v>
      </c>
      <c r="U35" s="3592"/>
      <c r="V35" s="3592"/>
      <c r="W35" s="3591">
        <f>'R.FILE GOC'!W35</f>
        <v>66</v>
      </c>
      <c r="X35" s="3592"/>
      <c r="Y35" s="1461"/>
      <c r="Z35" s="3591">
        <f>'R.FILE GOC'!Z35</f>
        <v>0</v>
      </c>
      <c r="AA35" s="3592"/>
      <c r="AB35" s="3592"/>
      <c r="AC35" s="3591">
        <f>'R.FILE GOC'!AC35</f>
        <v>66</v>
      </c>
      <c r="AD35" s="3592"/>
      <c r="AE35" s="1461"/>
      <c r="AF35" s="3591">
        <f>'R.FILE GOC'!AF35</f>
        <v>0</v>
      </c>
      <c r="AG35" s="3592"/>
      <c r="AH35" s="3592"/>
      <c r="AI35" s="3591">
        <f>'R.FILE GOC'!AI35</f>
        <v>67</v>
      </c>
      <c r="AJ35" s="3592"/>
      <c r="AK35" s="1461"/>
      <c r="AL35" s="3591">
        <f>'R.FILE GOC'!AL35</f>
        <v>0</v>
      </c>
      <c r="AM35" s="3592"/>
      <c r="AN35" s="3592"/>
      <c r="AO35" s="3802">
        <f>'R.FILE GOC'!AO35</f>
        <v>60</v>
      </c>
      <c r="AP35" s="3802"/>
      <c r="AQ35" s="12" t="s">
        <v>449</v>
      </c>
    </row>
    <row r="36" spans="1:43" ht="30" customHeight="1">
      <c r="A36" s="1095" t="s">
        <v>1067</v>
      </c>
      <c r="B36" s="3140" t="s">
        <v>730</v>
      </c>
      <c r="C36" s="3142"/>
      <c r="D36" s="246" t="s">
        <v>194</v>
      </c>
      <c r="E36" s="47" t="s">
        <v>1055</v>
      </c>
      <c r="F36" s="424"/>
      <c r="G36" s="424"/>
      <c r="H36" s="3591">
        <f>'R.FILE GOC'!H36</f>
        <v>0</v>
      </c>
      <c r="I36" s="3592"/>
      <c r="J36" s="3592"/>
      <c r="K36" s="3591">
        <f>'R.FILE GOC'!K36</f>
        <v>84</v>
      </c>
      <c r="L36" s="3592"/>
      <c r="M36" s="1461"/>
      <c r="N36" s="3591">
        <f>'R.FILE GOC'!N36</f>
        <v>0</v>
      </c>
      <c r="O36" s="3592"/>
      <c r="P36" s="3592"/>
      <c r="Q36" s="3591">
        <f>'R.FILE GOC'!Q36</f>
        <v>83</v>
      </c>
      <c r="R36" s="3592"/>
      <c r="S36" s="1461"/>
      <c r="T36" s="3591">
        <f>'R.FILE GOC'!T36</f>
        <v>0</v>
      </c>
      <c r="U36" s="3592"/>
      <c r="V36" s="3592"/>
      <c r="W36" s="3591">
        <f>'R.FILE GOC'!W36</f>
        <v>82</v>
      </c>
      <c r="X36" s="3592"/>
      <c r="Y36" s="1461"/>
      <c r="Z36" s="3591">
        <f>'R.FILE GOC'!Z36</f>
        <v>0</v>
      </c>
      <c r="AA36" s="3592"/>
      <c r="AB36" s="3592"/>
      <c r="AC36" s="3591">
        <f>'R.FILE GOC'!AC36</f>
        <v>81</v>
      </c>
      <c r="AD36" s="3592"/>
      <c r="AE36" s="1461"/>
      <c r="AF36" s="3591">
        <f>'R.FILE GOC'!AF36</f>
        <v>0</v>
      </c>
      <c r="AG36" s="3592"/>
      <c r="AH36" s="3592"/>
      <c r="AI36" s="3591">
        <f>'R.FILE GOC'!AI36</f>
        <v>84</v>
      </c>
      <c r="AJ36" s="3592"/>
      <c r="AK36" s="1461"/>
      <c r="AL36" s="3591">
        <f>'R.FILE GOC'!AL36</f>
        <v>0</v>
      </c>
      <c r="AM36" s="3592"/>
      <c r="AN36" s="3592"/>
      <c r="AO36" s="3802">
        <f>'R.FILE GOC'!AO36</f>
        <v>84</v>
      </c>
      <c r="AP36" s="3802"/>
      <c r="AQ36" s="12" t="s">
        <v>449</v>
      </c>
    </row>
    <row r="37" spans="1:43" ht="25.5" customHeight="1">
      <c r="A37" s="425"/>
      <c r="B37" s="425"/>
      <c r="C37" s="425"/>
      <c r="D37" s="425"/>
      <c r="E37" s="425"/>
      <c r="F37" s="425"/>
      <c r="G37" s="425"/>
      <c r="H37" s="425"/>
      <c r="I37" s="425"/>
      <c r="J37" s="425"/>
      <c r="K37" s="425"/>
      <c r="L37" s="425"/>
      <c r="M37" s="425"/>
      <c r="N37" s="425"/>
      <c r="O37" s="425"/>
      <c r="P37" s="425"/>
      <c r="Q37" s="425"/>
      <c r="R37" s="425"/>
      <c r="S37" s="425"/>
      <c r="T37" s="425"/>
      <c r="U37" s="425"/>
      <c r="V37" s="425"/>
      <c r="W37" s="425"/>
      <c r="X37" s="425"/>
      <c r="Y37" s="425"/>
      <c r="Z37" s="425"/>
      <c r="AA37" s="425"/>
      <c r="AB37" s="425"/>
      <c r="AC37" s="425"/>
      <c r="AD37" s="425"/>
      <c r="AP37" s="12"/>
    </row>
    <row r="38" spans="1:43" ht="41.25" customHeight="1">
      <c r="A38" s="1968" t="s">
        <v>1068</v>
      </c>
      <c r="B38" s="1969"/>
      <c r="C38" s="1970"/>
      <c r="D38" s="1970"/>
      <c r="E38" s="2079"/>
      <c r="F38" s="1971" t="s">
        <v>71</v>
      </c>
      <c r="G38" s="1972"/>
      <c r="H38" s="1973" t="s">
        <v>71</v>
      </c>
      <c r="I38" s="1973"/>
      <c r="J38" s="1973"/>
      <c r="K38" s="1973"/>
      <c r="L38" s="1973"/>
      <c r="M38" s="1973"/>
      <c r="N38" s="1973"/>
      <c r="O38" s="1973"/>
      <c r="P38" s="1973"/>
      <c r="Q38" s="1973"/>
      <c r="R38" s="1973"/>
      <c r="S38" s="1973"/>
      <c r="T38" s="1973"/>
      <c r="U38" s="1973"/>
      <c r="V38" s="1973"/>
      <c r="W38" s="1973"/>
      <c r="X38" s="1973"/>
      <c r="Y38" s="1973"/>
      <c r="Z38" s="1973"/>
      <c r="AA38" s="1973"/>
      <c r="AB38" s="1973"/>
      <c r="AC38" s="1973"/>
      <c r="AD38" s="1973"/>
      <c r="AE38" s="1973"/>
      <c r="AF38" s="1973"/>
      <c r="AG38" s="1973"/>
      <c r="AH38" s="1973"/>
      <c r="AI38" s="1974"/>
      <c r="AJ38" s="1973"/>
      <c r="AK38" s="1973"/>
      <c r="AL38" s="1973"/>
      <c r="AM38" s="1973"/>
      <c r="AN38" s="1973"/>
      <c r="AO38" s="1973"/>
      <c r="AP38" s="1973"/>
    </row>
    <row r="39" spans="1:43" ht="31.5" customHeight="1">
      <c r="A39" s="399"/>
      <c r="B39" s="3818" t="s">
        <v>75</v>
      </c>
      <c r="C39" s="3819"/>
      <c r="D39" s="3119" t="s">
        <v>123</v>
      </c>
      <c r="E39" s="3810" t="s">
        <v>63</v>
      </c>
      <c r="F39" s="418"/>
      <c r="G39" s="419"/>
      <c r="H39" s="3567" t="s">
        <v>469</v>
      </c>
      <c r="I39" s="3567"/>
      <c r="J39" s="3567"/>
      <c r="K39" s="3567"/>
      <c r="L39" s="3567"/>
      <c r="M39" s="1222"/>
      <c r="N39" s="3560" t="s">
        <v>1449</v>
      </c>
      <c r="O39" s="3560"/>
      <c r="P39" s="3560"/>
      <c r="Q39" s="3560"/>
      <c r="R39" s="3560"/>
      <c r="S39" s="1222"/>
      <c r="T39" s="3567" t="s">
        <v>1450</v>
      </c>
      <c r="U39" s="3567"/>
      <c r="V39" s="3567"/>
      <c r="W39" s="3567"/>
      <c r="X39" s="3567"/>
      <c r="Y39" s="1222"/>
      <c r="Z39" s="3567" t="s">
        <v>1451</v>
      </c>
      <c r="AA39" s="3567"/>
      <c r="AB39" s="3567"/>
      <c r="AC39" s="3567"/>
      <c r="AD39" s="3567"/>
      <c r="AE39" s="1222"/>
      <c r="AF39" s="3567" t="s">
        <v>1452</v>
      </c>
      <c r="AG39" s="3567"/>
      <c r="AH39" s="3567"/>
      <c r="AI39" s="3567"/>
      <c r="AJ39" s="3567"/>
      <c r="AK39" s="1222"/>
      <c r="AL39" s="3567" t="s">
        <v>1453</v>
      </c>
      <c r="AM39" s="3567"/>
      <c r="AN39" s="3567"/>
      <c r="AO39" s="3567"/>
      <c r="AP39" s="3567"/>
    </row>
    <row r="40" spans="1:43" ht="31.5" customHeight="1">
      <c r="A40" s="436" t="s">
        <v>236</v>
      </c>
      <c r="B40" s="3820"/>
      <c r="C40" s="3821"/>
      <c r="D40" s="3809"/>
      <c r="E40" s="3811"/>
      <c r="F40" s="404" t="s">
        <v>420</v>
      </c>
      <c r="G40" s="405"/>
      <c r="H40" s="1063" t="s">
        <v>728</v>
      </c>
      <c r="I40" s="294" t="s">
        <v>1</v>
      </c>
      <c r="J40" s="3812" t="s">
        <v>1</v>
      </c>
      <c r="K40" s="3812"/>
      <c r="L40" s="3813"/>
      <c r="M40" s="1094"/>
      <c r="N40" s="1063" t="s">
        <v>728</v>
      </c>
      <c r="O40" s="294" t="s">
        <v>1</v>
      </c>
      <c r="P40" s="3812" t="s">
        <v>1</v>
      </c>
      <c r="Q40" s="3812"/>
      <c r="R40" s="3813"/>
      <c r="S40" s="405"/>
      <c r="T40" s="1063" t="s">
        <v>728</v>
      </c>
      <c r="U40" s="294" t="s">
        <v>1</v>
      </c>
      <c r="V40" s="3812" t="s">
        <v>1</v>
      </c>
      <c r="W40" s="3812"/>
      <c r="X40" s="3813"/>
      <c r="Y40" s="1094"/>
      <c r="Z40" s="1063" t="s">
        <v>728</v>
      </c>
      <c r="AA40" s="294" t="s">
        <v>1</v>
      </c>
      <c r="AB40" s="3814" t="s">
        <v>1</v>
      </c>
      <c r="AC40" s="3814"/>
      <c r="AD40" s="3814"/>
      <c r="AE40" s="405"/>
      <c r="AF40" s="1063" t="s">
        <v>728</v>
      </c>
      <c r="AG40" s="294" t="s">
        <v>1</v>
      </c>
      <c r="AH40" s="3812" t="s">
        <v>1</v>
      </c>
      <c r="AI40" s="3812"/>
      <c r="AJ40" s="3813"/>
      <c r="AK40" s="1094"/>
      <c r="AL40" s="1063" t="s">
        <v>728</v>
      </c>
      <c r="AM40" s="294" t="s">
        <v>1</v>
      </c>
      <c r="AN40" s="3814" t="s">
        <v>1</v>
      </c>
      <c r="AO40" s="3814"/>
      <c r="AP40" s="3814"/>
    </row>
    <row r="41" spans="1:43" ht="31.5" customHeight="1">
      <c r="A41" s="1095" t="s">
        <v>1069</v>
      </c>
      <c r="B41" s="3137" t="s">
        <v>447</v>
      </c>
      <c r="C41" s="3743"/>
      <c r="D41" s="420" t="s">
        <v>429</v>
      </c>
      <c r="E41" s="47" t="s">
        <v>448</v>
      </c>
      <c r="F41" s="410">
        <v>40</v>
      </c>
      <c r="G41" s="407">
        <f>R.HN!C25</f>
        <v>0</v>
      </c>
      <c r="H41" s="1468">
        <f>G41*10</f>
        <v>0</v>
      </c>
      <c r="I41" s="1468">
        <f>($F$25-H41)*2330/1000</f>
        <v>93.2</v>
      </c>
      <c r="J41" s="1469" t="s">
        <v>8</v>
      </c>
      <c r="K41" s="1459">
        <f>IF(H41=0,0,IF(I41&lt;0,0,I41))</f>
        <v>0</v>
      </c>
      <c r="L41" s="1469" t="s">
        <v>9</v>
      </c>
      <c r="M41" s="1470">
        <f>R.HN!D25</f>
        <v>0</v>
      </c>
      <c r="N41" s="1468">
        <f>M41*10</f>
        <v>0</v>
      </c>
      <c r="O41" s="1468">
        <f>($F$25-N41)*2330/1000</f>
        <v>93.2</v>
      </c>
      <c r="P41" s="1469" t="s">
        <v>8</v>
      </c>
      <c r="Q41" s="1459">
        <f>IF(N41=0,0,IF(O41&lt;0,0,O41))</f>
        <v>0</v>
      </c>
      <c r="R41" s="1469" t="s">
        <v>9</v>
      </c>
      <c r="S41" s="1470">
        <f>R.HN!E25</f>
        <v>0</v>
      </c>
      <c r="T41" s="1468">
        <f>S41*10</f>
        <v>0</v>
      </c>
      <c r="U41" s="1468">
        <f>($F$25-T41)*2330/1000</f>
        <v>93.2</v>
      </c>
      <c r="V41" s="1469" t="s">
        <v>8</v>
      </c>
      <c r="W41" s="1459">
        <f>IF(T41=0,0,IF(U41&lt;0,0,U41))</f>
        <v>0</v>
      </c>
      <c r="X41" s="1469" t="s">
        <v>9</v>
      </c>
      <c r="Y41" s="1470">
        <f>R.HN!F25</f>
        <v>0</v>
      </c>
      <c r="Z41" s="1468">
        <f>Y41*10</f>
        <v>0</v>
      </c>
      <c r="AA41" s="1468">
        <f>($F$25-Z41)*2330/1000</f>
        <v>93.2</v>
      </c>
      <c r="AB41" s="1469" t="s">
        <v>8</v>
      </c>
      <c r="AC41" s="1459">
        <f>IF(Z41=0,0,IF(AA41&lt;0,0,AA41))</f>
        <v>0</v>
      </c>
      <c r="AD41" s="1469" t="s">
        <v>9</v>
      </c>
      <c r="AE41" s="1470">
        <f>R.HN!G25</f>
        <v>0</v>
      </c>
      <c r="AF41" s="1468">
        <f>AE41*10</f>
        <v>0</v>
      </c>
      <c r="AG41" s="1468">
        <f>($F$25-AF41)*2330/1000</f>
        <v>93.2</v>
      </c>
      <c r="AH41" s="1469" t="s">
        <v>8</v>
      </c>
      <c r="AI41" s="1459">
        <f>IF(AF41=0,0,IF(AG41&lt;0,0,AG41))</f>
        <v>0</v>
      </c>
      <c r="AJ41" s="1469" t="s">
        <v>9</v>
      </c>
      <c r="AK41" s="1470">
        <f>R.HN!H25</f>
        <v>0</v>
      </c>
      <c r="AL41" s="1468">
        <f>AK41*10</f>
        <v>0</v>
      </c>
      <c r="AM41" s="1468">
        <f>($F$25-AL41)*2330/1000</f>
        <v>93.2</v>
      </c>
      <c r="AN41" s="1469" t="s">
        <v>8</v>
      </c>
      <c r="AO41" s="1459">
        <f>IF(AL41=0,0,IF(AM41&lt;0,0,AM41))</f>
        <v>0</v>
      </c>
      <c r="AP41" s="1468" t="s">
        <v>9</v>
      </c>
      <c r="AQ41" s="12" t="s">
        <v>456</v>
      </c>
    </row>
    <row r="42" spans="1:43" ht="31.5" customHeight="1">
      <c r="A42" s="1095" t="s">
        <v>1070</v>
      </c>
      <c r="B42" s="3137" t="s">
        <v>834</v>
      </c>
      <c r="C42" s="3743"/>
      <c r="D42" s="46" t="s">
        <v>3</v>
      </c>
      <c r="E42" s="47" t="s">
        <v>424</v>
      </c>
      <c r="F42" s="406">
        <v>12.5</v>
      </c>
      <c r="G42" s="407">
        <f>R.HN!C26</f>
        <v>0</v>
      </c>
      <c r="H42" s="1468">
        <f>(1*G42*36.5)/(1*10)</f>
        <v>0</v>
      </c>
      <c r="I42" s="1468">
        <f>($F$26-H42)*2605/32</f>
        <v>1017.578125</v>
      </c>
      <c r="J42" s="1469" t="s">
        <v>8</v>
      </c>
      <c r="K42" s="1459">
        <f>IF(H42=0,0,IF(I42&lt;0,0,I42))</f>
        <v>0</v>
      </c>
      <c r="L42" s="1469" t="s">
        <v>10</v>
      </c>
      <c r="M42" s="1471">
        <f>R.HN!D26</f>
        <v>0</v>
      </c>
      <c r="N42" s="1468">
        <f>(1*M42*36.5)/(1*10)</f>
        <v>0</v>
      </c>
      <c r="O42" s="1468">
        <f>($F$26-N42)*2605/32</f>
        <v>1017.578125</v>
      </c>
      <c r="P42" s="1469" t="s">
        <v>8</v>
      </c>
      <c r="Q42" s="1459">
        <f>IF(N42=0,0,IF(O42&lt;0,0,O42))</f>
        <v>0</v>
      </c>
      <c r="R42" s="1469" t="s">
        <v>10</v>
      </c>
      <c r="S42" s="1472">
        <f>R.HN!E26</f>
        <v>0</v>
      </c>
      <c r="T42" s="1468">
        <f>(1*S42*36.5)/(1*10)</f>
        <v>0</v>
      </c>
      <c r="U42" s="1468">
        <f>($F$26-T42)*2605/32</f>
        <v>1017.578125</v>
      </c>
      <c r="V42" s="1469" t="s">
        <v>8</v>
      </c>
      <c r="W42" s="1459">
        <f>IF(T42=0,0,IF(U42&lt;0,0,U42))</f>
        <v>0</v>
      </c>
      <c r="X42" s="1469" t="s">
        <v>10</v>
      </c>
      <c r="Y42" s="1472">
        <f>R.HN!F26</f>
        <v>0</v>
      </c>
      <c r="Z42" s="1468">
        <f>(1*Y42*36.5)/(1*10)</f>
        <v>0</v>
      </c>
      <c r="AA42" s="1468">
        <f>($F$26-Z42)*2605/32</f>
        <v>1017.578125</v>
      </c>
      <c r="AB42" s="1469" t="s">
        <v>8</v>
      </c>
      <c r="AC42" s="1459">
        <f>IF(Z42=0,0,IF(AA42&lt;0,0,AA42))</f>
        <v>0</v>
      </c>
      <c r="AD42" s="1469" t="s">
        <v>10</v>
      </c>
      <c r="AE42" s="1472">
        <f>R.HN!G26</f>
        <v>0</v>
      </c>
      <c r="AF42" s="1468">
        <f>(1*AE42*36.5)/(1*10)</f>
        <v>0</v>
      </c>
      <c r="AG42" s="1468">
        <f>($F$26-AF42)*2605/32</f>
        <v>1017.578125</v>
      </c>
      <c r="AH42" s="1469" t="s">
        <v>8</v>
      </c>
      <c r="AI42" s="1459">
        <f>IF(AF42=0,0,IF(AG42&lt;0,0,AG42))</f>
        <v>0</v>
      </c>
      <c r="AJ42" s="1469" t="s">
        <v>10</v>
      </c>
      <c r="AK42" s="1472">
        <f>R.HN!H26</f>
        <v>0</v>
      </c>
      <c r="AL42" s="1468">
        <f>(1*AK42*36.5)/(1*10)</f>
        <v>0</v>
      </c>
      <c r="AM42" s="1468">
        <f>($F$26-AL42)*2605/32</f>
        <v>1017.578125</v>
      </c>
      <c r="AN42" s="1469" t="s">
        <v>8</v>
      </c>
      <c r="AO42" s="1459">
        <f>IF(AL42=0,0,IF(AM42&lt;0,0,AM42))</f>
        <v>0</v>
      </c>
      <c r="AP42" s="1468" t="s">
        <v>10</v>
      </c>
      <c r="AQ42" s="12" t="s">
        <v>456</v>
      </c>
    </row>
    <row r="43" spans="1:43" ht="42" customHeight="1">
      <c r="A43" s="1095" t="s">
        <v>1071</v>
      </c>
      <c r="B43" s="1098" t="s">
        <v>782</v>
      </c>
      <c r="C43" s="3815"/>
      <c r="D43" s="1099" t="s">
        <v>429</v>
      </c>
      <c r="E43" s="47" t="s">
        <v>1402</v>
      </c>
      <c r="F43" s="421">
        <v>50</v>
      </c>
      <c r="G43" s="407">
        <f>R.HN!C27</f>
        <v>0</v>
      </c>
      <c r="H43" s="1468">
        <f>G43*10</f>
        <v>0</v>
      </c>
      <c r="I43" s="1468">
        <f>($F$43-H43)*4935/1000</f>
        <v>246.75</v>
      </c>
      <c r="J43" s="1469" t="s">
        <v>8</v>
      </c>
      <c r="K43" s="1459">
        <f>IF(H43=0,0,IF(I43&lt;0,0,I43))</f>
        <v>0</v>
      </c>
      <c r="L43" s="1469" t="s">
        <v>9</v>
      </c>
      <c r="M43" s="1470">
        <f>R.HN!D27</f>
        <v>0</v>
      </c>
      <c r="N43" s="1468">
        <f>M43*10</f>
        <v>0</v>
      </c>
      <c r="O43" s="1468">
        <f>($F$43-N43)*4935/1000</f>
        <v>246.75</v>
      </c>
      <c r="P43" s="1469" t="s">
        <v>8</v>
      </c>
      <c r="Q43" s="1459">
        <f>IF(N43=0,0,IF(O43&lt;0,0,O43))</f>
        <v>0</v>
      </c>
      <c r="R43" s="1469" t="s">
        <v>9</v>
      </c>
      <c r="S43" s="1470">
        <f>R.HN!E27</f>
        <v>0</v>
      </c>
      <c r="T43" s="1468">
        <f>S43*10</f>
        <v>0</v>
      </c>
      <c r="U43" s="1468">
        <f>($F$43-T43)*4935/1000</f>
        <v>246.75</v>
      </c>
      <c r="V43" s="1469" t="s">
        <v>8</v>
      </c>
      <c r="W43" s="1459">
        <f>IF(T43=0,0,IF(U43&lt;0,0,U43))</f>
        <v>0</v>
      </c>
      <c r="X43" s="1469" t="s">
        <v>9</v>
      </c>
      <c r="Y43" s="1470">
        <f>R.HN!F27</f>
        <v>0</v>
      </c>
      <c r="Z43" s="1468">
        <f>Y43*10</f>
        <v>0</v>
      </c>
      <c r="AA43" s="1468">
        <f>($F$43-Z43)*4935/1000</f>
        <v>246.75</v>
      </c>
      <c r="AB43" s="1469" t="s">
        <v>8</v>
      </c>
      <c r="AC43" s="1459">
        <f>IF(Z43=0,0,IF(AA43&lt;0,0,AA43))</f>
        <v>0</v>
      </c>
      <c r="AD43" s="1469" t="s">
        <v>9</v>
      </c>
      <c r="AE43" s="1470">
        <f>R.HN!G27</f>
        <v>0</v>
      </c>
      <c r="AF43" s="1468">
        <f>AE43*10</f>
        <v>0</v>
      </c>
      <c r="AG43" s="1468">
        <f>($F$43-AF43)*4935/1000</f>
        <v>246.75</v>
      </c>
      <c r="AH43" s="1469" t="s">
        <v>8</v>
      </c>
      <c r="AI43" s="1459">
        <f>IF(AF43=0,0,IF(AG43&lt;0,0,AG43))</f>
        <v>0</v>
      </c>
      <c r="AJ43" s="1469" t="s">
        <v>9</v>
      </c>
      <c r="AK43" s="1470">
        <f>R.HN!H27</f>
        <v>0</v>
      </c>
      <c r="AL43" s="1468">
        <f>AK43*10</f>
        <v>0</v>
      </c>
      <c r="AM43" s="1468">
        <f>($F$43-AL43)*4935/1000</f>
        <v>246.75</v>
      </c>
      <c r="AN43" s="1469" t="s">
        <v>8</v>
      </c>
      <c r="AO43" s="1459">
        <f>IF(AL43=0,0,IF(AM43&lt;0,0,AM43))</f>
        <v>0</v>
      </c>
      <c r="AP43" s="1468" t="s">
        <v>9</v>
      </c>
      <c r="AQ43" s="12" t="s">
        <v>456</v>
      </c>
    </row>
    <row r="44" spans="1:43" ht="31.5" customHeight="1">
      <c r="A44" s="1095" t="s">
        <v>1072</v>
      </c>
      <c r="B44" s="1100" t="s">
        <v>783</v>
      </c>
      <c r="C44" s="3816"/>
      <c r="D44" s="1099" t="s">
        <v>429</v>
      </c>
      <c r="E44" s="47" t="s">
        <v>1052</v>
      </c>
      <c r="F44" s="407">
        <v>6.5</v>
      </c>
      <c r="G44" s="407">
        <f>R.HN!C28</f>
        <v>0</v>
      </c>
      <c r="H44" s="1468">
        <f>IFERROR(H43/G44,0)</f>
        <v>0</v>
      </c>
      <c r="I44" s="1468">
        <f>($F$44-H44)*4935/1000</f>
        <v>32.077500000000001</v>
      </c>
      <c r="J44" s="1469"/>
      <c r="K44" s="1459">
        <f>IF(H44=0,0,IF(I44&lt;0,0,I44))</f>
        <v>0</v>
      </c>
      <c r="L44" s="1469" t="s">
        <v>9</v>
      </c>
      <c r="M44" s="1472">
        <f>R.HN!D28</f>
        <v>0</v>
      </c>
      <c r="N44" s="1468">
        <f>IFERROR(N43/M44,0)</f>
        <v>0</v>
      </c>
      <c r="O44" s="1468">
        <f>($F$44-N44)*4935/1000</f>
        <v>32.077500000000001</v>
      </c>
      <c r="P44" s="1469"/>
      <c r="Q44" s="1459">
        <f>IF(N44=0,0,IF(O44&lt;0,0,O44))</f>
        <v>0</v>
      </c>
      <c r="R44" s="1469" t="s">
        <v>9</v>
      </c>
      <c r="S44" s="1472">
        <f>R.HN!E28</f>
        <v>0</v>
      </c>
      <c r="T44" s="1468">
        <f>IFERROR(T43/S44,0)</f>
        <v>0</v>
      </c>
      <c r="U44" s="1468">
        <f>($F$44-T44)*4935/1000</f>
        <v>32.077500000000001</v>
      </c>
      <c r="V44" s="1469"/>
      <c r="W44" s="1459">
        <f>IF(T44=0,0,IF(U44&lt;0,0,U44))</f>
        <v>0</v>
      </c>
      <c r="X44" s="1469" t="s">
        <v>9</v>
      </c>
      <c r="Y44" s="1472">
        <f>R.HN!F28</f>
        <v>0</v>
      </c>
      <c r="Z44" s="1468">
        <f>IFERROR(Z43/Y44,0)</f>
        <v>0</v>
      </c>
      <c r="AA44" s="1468">
        <f>($F$44-Z44)*4935/1000</f>
        <v>32.077500000000001</v>
      </c>
      <c r="AB44" s="1469"/>
      <c r="AC44" s="1459">
        <f>IF(Z44=0,0,IF(AA44&lt;0,0,AA44))</f>
        <v>0</v>
      </c>
      <c r="AD44" s="1469" t="s">
        <v>9</v>
      </c>
      <c r="AE44" s="1470">
        <f>R.HN!G28</f>
        <v>0</v>
      </c>
      <c r="AF44" s="1468">
        <f>IFERROR(AF43/AE44,0)</f>
        <v>0</v>
      </c>
      <c r="AG44" s="1468">
        <f>($F$44-AF44)*4935/1000</f>
        <v>32.077500000000001</v>
      </c>
      <c r="AH44" s="1469"/>
      <c r="AI44" s="1459">
        <f>IF(AF44=0,0,IF(AG44&lt;0,0,AG44))</f>
        <v>0</v>
      </c>
      <c r="AJ44" s="1469" t="s">
        <v>9</v>
      </c>
      <c r="AK44" s="1470">
        <f>R.HN!H28</f>
        <v>0</v>
      </c>
      <c r="AL44" s="1468">
        <f>IFERROR(AL43/AK44,0)</f>
        <v>0</v>
      </c>
      <c r="AM44" s="1468">
        <f>($F$44-AL44)*4935/1000</f>
        <v>32.077500000000001</v>
      </c>
      <c r="AN44" s="1469"/>
      <c r="AO44" s="1459">
        <f>IF(AL44=0,0,IF(AM44&lt;0,0,AM44))</f>
        <v>0</v>
      </c>
      <c r="AP44" s="1468" t="s">
        <v>9</v>
      </c>
      <c r="AQ44" s="12" t="s">
        <v>456</v>
      </c>
    </row>
    <row r="45" spans="1:43" ht="42.75" customHeight="1">
      <c r="A45" s="1095" t="s">
        <v>1073</v>
      </c>
      <c r="B45" s="1101" t="s">
        <v>784</v>
      </c>
      <c r="C45" s="3817"/>
      <c r="D45" s="1099" t="s">
        <v>429</v>
      </c>
      <c r="E45" s="47" t="s">
        <v>1053</v>
      </c>
      <c r="F45" s="423">
        <v>0.4</v>
      </c>
      <c r="G45" s="407">
        <f>R.HN!C29</f>
        <v>0</v>
      </c>
      <c r="H45" s="1463">
        <f>G45</f>
        <v>0</v>
      </c>
      <c r="I45" s="1463"/>
      <c r="J45" s="1464"/>
      <c r="K45" s="1465"/>
      <c r="L45" s="1464"/>
      <c r="M45" s="1465">
        <f>R.HN!D29</f>
        <v>0</v>
      </c>
      <c r="N45" s="1463">
        <f>M45</f>
        <v>0</v>
      </c>
      <c r="O45" s="1463"/>
      <c r="P45" s="1464"/>
      <c r="Q45" s="1465"/>
      <c r="R45" s="1464"/>
      <c r="S45" s="1465">
        <f>R.HN!E29</f>
        <v>0</v>
      </c>
      <c r="T45" s="1463">
        <f>S45</f>
        <v>0</v>
      </c>
      <c r="U45" s="1463"/>
      <c r="V45" s="1464"/>
      <c r="W45" s="1465"/>
      <c r="X45" s="1464"/>
      <c r="Y45" s="1465">
        <f>R.HN!F29</f>
        <v>0</v>
      </c>
      <c r="Z45" s="1463">
        <f>Y45</f>
        <v>0</v>
      </c>
      <c r="AA45" s="1463"/>
      <c r="AB45" s="1464"/>
      <c r="AC45" s="1465"/>
      <c r="AD45" s="1464"/>
      <c r="AE45" s="1465">
        <f>R.HN!G29</f>
        <v>0</v>
      </c>
      <c r="AF45" s="1463">
        <f>AE45</f>
        <v>0</v>
      </c>
      <c r="AG45" s="1463"/>
      <c r="AH45" s="1464"/>
      <c r="AI45" s="1465"/>
      <c r="AJ45" s="1464"/>
      <c r="AK45" s="1465">
        <f>R.HN!H29</f>
        <v>0</v>
      </c>
      <c r="AL45" s="1463">
        <f>AK45</f>
        <v>0</v>
      </c>
      <c r="AM45" s="1463"/>
      <c r="AN45" s="1464"/>
      <c r="AO45" s="1465"/>
      <c r="AP45" s="271"/>
      <c r="AQ45" s="12" t="s">
        <v>456</v>
      </c>
    </row>
    <row r="46" spans="1:43" ht="31.5" customHeight="1">
      <c r="A46" s="1095" t="s">
        <v>1074</v>
      </c>
      <c r="B46" s="1102" t="s">
        <v>438</v>
      </c>
      <c r="C46" s="1103"/>
      <c r="D46" s="1065" t="s">
        <v>429</v>
      </c>
      <c r="E46" s="47" t="s">
        <v>439</v>
      </c>
      <c r="F46" s="411">
        <v>1</v>
      </c>
      <c r="G46" s="407">
        <f>R.HN!C33</f>
        <v>0</v>
      </c>
      <c r="H46" s="1468">
        <f>G46</f>
        <v>0</v>
      </c>
      <c r="I46" s="1468">
        <f>($F$30-H46)*1234/1000</f>
        <v>1.234</v>
      </c>
      <c r="J46" s="1469" t="s">
        <v>8</v>
      </c>
      <c r="K46" s="1458">
        <f>IF(H46=0,0,IF(I46&lt;0,0,I46))</f>
        <v>0</v>
      </c>
      <c r="L46" s="1469" t="s">
        <v>9</v>
      </c>
      <c r="M46" s="1470">
        <f>R.HN!D33</f>
        <v>0</v>
      </c>
      <c r="N46" s="1468">
        <f>M46</f>
        <v>0</v>
      </c>
      <c r="O46" s="1468">
        <f>($F$30-N46)*1234/1000</f>
        <v>1.234</v>
      </c>
      <c r="P46" s="1469" t="s">
        <v>8</v>
      </c>
      <c r="Q46" s="1458">
        <f>IF(N46=0,0,IF(O46&lt;0,0,O46))</f>
        <v>0</v>
      </c>
      <c r="R46" s="1469" t="s">
        <v>9</v>
      </c>
      <c r="S46" s="1470">
        <f>R.HN!E33</f>
        <v>0</v>
      </c>
      <c r="T46" s="1468">
        <f>S46</f>
        <v>0</v>
      </c>
      <c r="U46" s="1468">
        <f>($F$30-T46)*1234/1000</f>
        <v>1.234</v>
      </c>
      <c r="V46" s="1469" t="s">
        <v>8</v>
      </c>
      <c r="W46" s="1458">
        <f>IF(T46=0,0,IF(U46&lt;0,0,U46))</f>
        <v>0</v>
      </c>
      <c r="X46" s="1469" t="s">
        <v>9</v>
      </c>
      <c r="Y46" s="1470">
        <f>R.HN!F33</f>
        <v>0</v>
      </c>
      <c r="Z46" s="1468">
        <f>Y46</f>
        <v>0</v>
      </c>
      <c r="AA46" s="1468">
        <f>($F$30-Z46)*1234/1000</f>
        <v>1.234</v>
      </c>
      <c r="AB46" s="1469" t="s">
        <v>8</v>
      </c>
      <c r="AC46" s="1458">
        <f>IF(Z46=0,0,IF(AA46&lt;0,0,AA46))</f>
        <v>0</v>
      </c>
      <c r="AD46" s="1469" t="s">
        <v>9</v>
      </c>
      <c r="AE46" s="1470">
        <f>R.HN!G33</f>
        <v>0</v>
      </c>
      <c r="AF46" s="1468">
        <f>AE46</f>
        <v>0</v>
      </c>
      <c r="AG46" s="1468">
        <f>($F$30-AF46)*1234/1000</f>
        <v>1.234</v>
      </c>
      <c r="AH46" s="1469" t="s">
        <v>8</v>
      </c>
      <c r="AI46" s="1458">
        <f>IF(AF46=0,0,IF(AG46&lt;0,0,AG46))</f>
        <v>0</v>
      </c>
      <c r="AJ46" s="1469" t="s">
        <v>9</v>
      </c>
      <c r="AK46" s="1470">
        <f>R.HN!H33</f>
        <v>0</v>
      </c>
      <c r="AL46" s="1468">
        <f>AK46</f>
        <v>0</v>
      </c>
      <c r="AM46" s="1468">
        <f>($F$30-AL46)*1234/1000</f>
        <v>1.234</v>
      </c>
      <c r="AN46" s="1469" t="s">
        <v>8</v>
      </c>
      <c r="AO46" s="1458">
        <f>IF(AL46=0,0,IF(AM46&lt;0,0,AM46))</f>
        <v>0</v>
      </c>
      <c r="AP46" s="1468" t="s">
        <v>9</v>
      </c>
      <c r="AQ46" s="12" t="s">
        <v>456</v>
      </c>
    </row>
    <row r="47" spans="1:43" ht="31.5" customHeight="1">
      <c r="A47" s="1095" t="s">
        <v>1075</v>
      </c>
      <c r="B47" s="1104" t="s">
        <v>5</v>
      </c>
      <c r="C47" s="1105"/>
      <c r="D47" s="1065" t="s">
        <v>5</v>
      </c>
      <c r="E47" s="47" t="s">
        <v>441</v>
      </c>
      <c r="F47" s="413">
        <v>9.5</v>
      </c>
      <c r="G47" s="407">
        <f>R.HN!C34</f>
        <v>0</v>
      </c>
      <c r="H47" s="1468">
        <f>G47</f>
        <v>0</v>
      </c>
      <c r="I47" s="1468"/>
      <c r="J47" s="1469"/>
      <c r="K47" s="1470"/>
      <c r="L47" s="1469"/>
      <c r="M47" s="1470">
        <f>R.HN!D34</f>
        <v>0</v>
      </c>
      <c r="N47" s="1468">
        <f>M47</f>
        <v>0</v>
      </c>
      <c r="O47" s="1468"/>
      <c r="P47" s="1469"/>
      <c r="Q47" s="1470"/>
      <c r="R47" s="1469"/>
      <c r="S47" s="1470">
        <f>R.HN!E34</f>
        <v>0</v>
      </c>
      <c r="T47" s="1468">
        <f>S47</f>
        <v>0</v>
      </c>
      <c r="U47" s="1468"/>
      <c r="V47" s="1469"/>
      <c r="W47" s="1470"/>
      <c r="X47" s="1469"/>
      <c r="Y47" s="1470">
        <f>R.HN!F34</f>
        <v>0</v>
      </c>
      <c r="Z47" s="1468">
        <f>Y47</f>
        <v>0</v>
      </c>
      <c r="AA47" s="1468"/>
      <c r="AB47" s="1469"/>
      <c r="AC47" s="1470"/>
      <c r="AD47" s="1469"/>
      <c r="AE47" s="1470">
        <f>R.HN!G34</f>
        <v>0</v>
      </c>
      <c r="AF47" s="1468">
        <f>AE47</f>
        <v>0</v>
      </c>
      <c r="AG47" s="1468"/>
      <c r="AH47" s="1469"/>
      <c r="AI47" s="1470"/>
      <c r="AJ47" s="1469"/>
      <c r="AK47" s="1470">
        <f>R.HN!H34</f>
        <v>0</v>
      </c>
      <c r="AL47" s="1468">
        <f>AK47</f>
        <v>0</v>
      </c>
      <c r="AM47" s="1468"/>
      <c r="AN47" s="1469"/>
      <c r="AO47" s="1470"/>
      <c r="AP47" s="1468"/>
      <c r="AQ47" s="12" t="s">
        <v>456</v>
      </c>
    </row>
    <row r="48" spans="1:43" ht="33" customHeight="1">
      <c r="A48" s="1106" t="s">
        <v>72</v>
      </c>
      <c r="B48" s="302"/>
      <c r="C48" s="302"/>
      <c r="D48" s="302"/>
      <c r="E48" s="295"/>
      <c r="F48" s="302"/>
      <c r="G48" s="302"/>
      <c r="H48" s="302"/>
      <c r="I48" s="302"/>
      <c r="J48" s="302"/>
      <c r="K48" s="302"/>
      <c r="L48" s="302"/>
      <c r="M48" s="302"/>
      <c r="N48" s="307"/>
      <c r="O48" s="302"/>
      <c r="P48" s="302"/>
      <c r="Q48" s="302"/>
      <c r="R48" s="307"/>
      <c r="S48" s="302"/>
      <c r="T48" s="307"/>
      <c r="U48" s="302"/>
      <c r="V48" s="302"/>
      <c r="W48" s="302"/>
      <c r="X48" s="302"/>
      <c r="Y48" s="302"/>
      <c r="Z48" s="302"/>
      <c r="AA48" s="302"/>
      <c r="AB48" s="302"/>
      <c r="AC48" s="302"/>
      <c r="AD48" s="302"/>
      <c r="AE48" s="307"/>
      <c r="AF48" s="307"/>
      <c r="AG48" s="307"/>
      <c r="AH48" s="307"/>
      <c r="AI48" s="307"/>
      <c r="AJ48" s="307"/>
      <c r="AK48" s="307"/>
      <c r="AL48" s="307"/>
      <c r="AM48" s="307"/>
      <c r="AN48" s="307"/>
      <c r="AO48" s="307"/>
      <c r="AP48" s="1107"/>
    </row>
    <row r="49" spans="1:43" ht="52.5" customHeight="1">
      <c r="A49" s="1095" t="s">
        <v>236</v>
      </c>
      <c r="B49" s="3140" t="s">
        <v>60</v>
      </c>
      <c r="C49" s="3142"/>
      <c r="D49" s="276" t="s">
        <v>62</v>
      </c>
      <c r="E49" s="276" t="s">
        <v>63</v>
      </c>
      <c r="F49" s="414"/>
      <c r="G49" s="414"/>
      <c r="H49" s="303" t="s">
        <v>45</v>
      </c>
      <c r="I49" s="304"/>
      <c r="J49" s="304"/>
      <c r="K49" s="303" t="s">
        <v>61</v>
      </c>
      <c r="L49" s="305"/>
      <c r="M49" s="276"/>
      <c r="N49" s="303" t="s">
        <v>45</v>
      </c>
      <c r="O49" s="304"/>
      <c r="P49" s="304"/>
      <c r="Q49" s="303" t="s">
        <v>61</v>
      </c>
      <c r="R49" s="305"/>
      <c r="S49" s="1108"/>
      <c r="T49" s="303" t="s">
        <v>45</v>
      </c>
      <c r="U49" s="304"/>
      <c r="V49" s="304"/>
      <c r="W49" s="303" t="s">
        <v>61</v>
      </c>
      <c r="X49" s="305"/>
      <c r="Y49" s="1109"/>
      <c r="Z49" s="303" t="s">
        <v>45</v>
      </c>
      <c r="AA49" s="304"/>
      <c r="AB49" s="304"/>
      <c r="AC49" s="303" t="s">
        <v>61</v>
      </c>
      <c r="AD49" s="305"/>
      <c r="AE49" s="1109"/>
      <c r="AF49" s="303" t="s">
        <v>45</v>
      </c>
      <c r="AG49" s="304"/>
      <c r="AH49" s="304"/>
      <c r="AI49" s="303" t="s">
        <v>61</v>
      </c>
      <c r="AJ49" s="305"/>
      <c r="AK49" s="1109"/>
      <c r="AL49" s="303" t="s">
        <v>45</v>
      </c>
      <c r="AM49" s="304"/>
      <c r="AN49" s="304"/>
      <c r="AO49" s="303" t="s">
        <v>61</v>
      </c>
      <c r="AP49" s="305"/>
    </row>
    <row r="50" spans="1:43" ht="30" customHeight="1">
      <c r="A50" s="1095" t="s">
        <v>1076</v>
      </c>
      <c r="B50" s="3140" t="s">
        <v>452</v>
      </c>
      <c r="C50" s="3142"/>
      <c r="D50" s="246" t="s">
        <v>194</v>
      </c>
      <c r="E50" s="47" t="s">
        <v>1065</v>
      </c>
      <c r="F50" s="415"/>
      <c r="G50" s="415"/>
      <c r="H50" s="3802">
        <f>'R.FILE GOC'!H50</f>
        <v>0</v>
      </c>
      <c r="I50" s="3802"/>
      <c r="J50" s="3802"/>
      <c r="K50" s="3802">
        <f>'R.FILE GOC'!K50</f>
        <v>0</v>
      </c>
      <c r="L50" s="3802"/>
      <c r="M50" s="1460"/>
      <c r="N50" s="3802">
        <f>'R.FILE GOC'!N50</f>
        <v>0</v>
      </c>
      <c r="O50" s="3802"/>
      <c r="P50" s="3802"/>
      <c r="Q50" s="3802">
        <f>'R.FILE GOC'!Q50</f>
        <v>0</v>
      </c>
      <c r="R50" s="3802"/>
      <c r="S50" s="1460"/>
      <c r="T50" s="3802">
        <f>'R.FILE GOC'!T50</f>
        <v>0</v>
      </c>
      <c r="U50" s="3802"/>
      <c r="V50" s="3802"/>
      <c r="W50" s="3802">
        <f>'R.FILE GOC'!W50</f>
        <v>0</v>
      </c>
      <c r="X50" s="3802"/>
      <c r="Y50" s="1460"/>
      <c r="Z50" s="3802">
        <f>'R.FILE GOC'!Z50</f>
        <v>0</v>
      </c>
      <c r="AA50" s="3802"/>
      <c r="AB50" s="3802"/>
      <c r="AC50" s="3802">
        <f>'R.FILE GOC'!AC50</f>
        <v>0</v>
      </c>
      <c r="AD50" s="3802"/>
      <c r="AE50" s="1460"/>
      <c r="AF50" s="3802">
        <f>'R.FILE GOC'!AF50</f>
        <v>0</v>
      </c>
      <c r="AG50" s="3802"/>
      <c r="AH50" s="3802"/>
      <c r="AI50" s="3802">
        <f>'R.FILE GOC'!AI50</f>
        <v>0</v>
      </c>
      <c r="AJ50" s="3802"/>
      <c r="AK50" s="1460"/>
      <c r="AL50" s="3802">
        <f>'R.FILE GOC'!AL50</f>
        <v>0</v>
      </c>
      <c r="AM50" s="3802"/>
      <c r="AN50" s="3802"/>
      <c r="AO50" s="3802">
        <f>'R.FILE GOC'!AO50</f>
        <v>0</v>
      </c>
      <c r="AP50" s="3802"/>
      <c r="AQ50" s="12" t="s">
        <v>456</v>
      </c>
    </row>
    <row r="51" spans="1:43" ht="30" customHeight="1">
      <c r="A51" s="1095" t="s">
        <v>1077</v>
      </c>
      <c r="B51" s="3140" t="s">
        <v>445</v>
      </c>
      <c r="C51" s="3142"/>
      <c r="D51" s="246" t="s">
        <v>194</v>
      </c>
      <c r="E51" s="47" t="s">
        <v>1054</v>
      </c>
      <c r="F51" s="415"/>
      <c r="G51" s="415"/>
      <c r="H51" s="3802">
        <f>'R.FILE GOC'!H51</f>
        <v>0</v>
      </c>
      <c r="I51" s="3802"/>
      <c r="J51" s="3802"/>
      <c r="K51" s="3802">
        <f>'R.FILE GOC'!K51</f>
        <v>0</v>
      </c>
      <c r="L51" s="3802"/>
      <c r="M51" s="1460"/>
      <c r="N51" s="3802">
        <f>'R.FILE GOC'!N51</f>
        <v>0</v>
      </c>
      <c r="O51" s="3802"/>
      <c r="P51" s="3802"/>
      <c r="Q51" s="3802">
        <f>'R.FILE GOC'!Q51</f>
        <v>0</v>
      </c>
      <c r="R51" s="3802"/>
      <c r="S51" s="1460"/>
      <c r="T51" s="3802">
        <f>'R.FILE GOC'!T51</f>
        <v>0</v>
      </c>
      <c r="U51" s="3802"/>
      <c r="V51" s="3802"/>
      <c r="W51" s="3802">
        <f>'R.FILE GOC'!W51</f>
        <v>0</v>
      </c>
      <c r="X51" s="3802"/>
      <c r="Y51" s="1460"/>
      <c r="Z51" s="3802">
        <f>'R.FILE GOC'!Z51</f>
        <v>0</v>
      </c>
      <c r="AA51" s="3802"/>
      <c r="AB51" s="3802"/>
      <c r="AC51" s="3802">
        <f>'R.FILE GOC'!AC51</f>
        <v>0</v>
      </c>
      <c r="AD51" s="3802"/>
      <c r="AE51" s="1460"/>
      <c r="AF51" s="3802">
        <f>'R.FILE GOC'!AF51</f>
        <v>0</v>
      </c>
      <c r="AG51" s="3802"/>
      <c r="AH51" s="3802"/>
      <c r="AI51" s="3802">
        <f>'R.FILE GOC'!AI51</f>
        <v>0</v>
      </c>
      <c r="AJ51" s="3802"/>
      <c r="AK51" s="1460"/>
      <c r="AL51" s="3802">
        <f>'R.FILE GOC'!AL51</f>
        <v>0</v>
      </c>
      <c r="AM51" s="3802"/>
      <c r="AN51" s="3802"/>
      <c r="AO51" s="3802">
        <f>'R.FILE GOC'!AO51</f>
        <v>0</v>
      </c>
      <c r="AP51" s="3802"/>
      <c r="AQ51" s="12" t="s">
        <v>456</v>
      </c>
    </row>
    <row r="52" spans="1:43" ht="30" customHeight="1">
      <c r="A52" s="1095" t="s">
        <v>1078</v>
      </c>
      <c r="B52" s="3140" t="s">
        <v>730</v>
      </c>
      <c r="C52" s="3142"/>
      <c r="D52" s="246" t="s">
        <v>194</v>
      </c>
      <c r="E52" s="47" t="s">
        <v>1055</v>
      </c>
      <c r="F52" s="14"/>
      <c r="G52" s="14"/>
      <c r="H52" s="3802">
        <f>'R.FILE GOC'!H52</f>
        <v>0</v>
      </c>
      <c r="I52" s="3802"/>
      <c r="J52" s="3802"/>
      <c r="K52" s="3802">
        <f>'R.FILE GOC'!K52</f>
        <v>0</v>
      </c>
      <c r="L52" s="3802"/>
      <c r="M52" s="1460"/>
      <c r="N52" s="3802">
        <f>'R.FILE GOC'!N52</f>
        <v>0</v>
      </c>
      <c r="O52" s="3802"/>
      <c r="P52" s="3802"/>
      <c r="Q52" s="3802">
        <f>'R.FILE GOC'!Q52</f>
        <v>0</v>
      </c>
      <c r="R52" s="3802"/>
      <c r="S52" s="1460"/>
      <c r="T52" s="3802">
        <f>'R.FILE GOC'!T52</f>
        <v>0</v>
      </c>
      <c r="U52" s="3802"/>
      <c r="V52" s="3802"/>
      <c r="W52" s="3802">
        <f>'R.FILE GOC'!W52</f>
        <v>0</v>
      </c>
      <c r="X52" s="3802"/>
      <c r="Y52" s="1460"/>
      <c r="Z52" s="3802">
        <f>'R.FILE GOC'!Z52</f>
        <v>0</v>
      </c>
      <c r="AA52" s="3802"/>
      <c r="AB52" s="3802"/>
      <c r="AC52" s="3802">
        <f>'R.FILE GOC'!AC52</f>
        <v>0</v>
      </c>
      <c r="AD52" s="3802"/>
      <c r="AE52" s="1460"/>
      <c r="AF52" s="3802">
        <f>'R.FILE GOC'!AF52</f>
        <v>0</v>
      </c>
      <c r="AG52" s="3802"/>
      <c r="AH52" s="3802"/>
      <c r="AI52" s="3802">
        <f>'R.FILE GOC'!AI52</f>
        <v>0</v>
      </c>
      <c r="AJ52" s="3802"/>
      <c r="AK52" s="1460"/>
      <c r="AL52" s="3802">
        <f>'R.FILE GOC'!AL52</f>
        <v>0</v>
      </c>
      <c r="AM52" s="3802"/>
      <c r="AN52" s="3802"/>
      <c r="AO52" s="3802">
        <f>'R.FILE GOC'!AO52</f>
        <v>0</v>
      </c>
      <c r="AP52" s="3802"/>
      <c r="AQ52" s="12" t="s">
        <v>456</v>
      </c>
    </row>
    <row r="53" spans="1:43" ht="18.75" customHeight="1">
      <c r="A53" s="306"/>
      <c r="B53" s="306"/>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c r="AA53" s="306"/>
      <c r="AB53" s="306"/>
      <c r="AC53" s="306"/>
      <c r="AP53" s="12"/>
    </row>
    <row r="54" spans="1:43" ht="35.25" customHeight="1">
      <c r="A54" s="1968" t="s">
        <v>1661</v>
      </c>
      <c r="B54" s="1975"/>
      <c r="C54" s="1976"/>
      <c r="D54" s="1977"/>
      <c r="E54" s="2078"/>
      <c r="F54" s="1979" t="s">
        <v>71</v>
      </c>
      <c r="G54" s="1980"/>
      <c r="H54" s="2734" t="s">
        <v>71</v>
      </c>
      <c r="I54" s="2735"/>
      <c r="J54" s="2735"/>
      <c r="K54" s="2735"/>
      <c r="L54" s="2735"/>
      <c r="M54" s="2735"/>
      <c r="N54" s="2735"/>
      <c r="O54" s="2735"/>
      <c r="P54" s="2735"/>
      <c r="Q54" s="2735"/>
      <c r="R54" s="2736"/>
      <c r="S54" s="1981"/>
      <c r="T54" s="2733"/>
      <c r="U54" s="2733"/>
      <c r="V54" s="2733"/>
      <c r="W54" s="2733"/>
      <c r="X54" s="2733"/>
      <c r="Y54" s="2733"/>
      <c r="Z54" s="2733"/>
      <c r="AA54" s="2733"/>
      <c r="AB54" s="2733"/>
      <c r="AC54" s="2733"/>
      <c r="AD54" s="2733"/>
      <c r="AE54" s="306"/>
      <c r="AF54" s="306"/>
      <c r="AG54" s="306"/>
      <c r="AH54" s="306"/>
      <c r="AP54" s="12"/>
    </row>
    <row r="55" spans="1:43" ht="30" customHeight="1">
      <c r="A55" s="399"/>
      <c r="B55" s="3818" t="s">
        <v>75</v>
      </c>
      <c r="C55" s="3819"/>
      <c r="D55" s="3119" t="s">
        <v>123</v>
      </c>
      <c r="E55" s="3810" t="s">
        <v>63</v>
      </c>
      <c r="F55" s="400"/>
      <c r="G55" s="401"/>
      <c r="H55" s="3576" t="s">
        <v>469</v>
      </c>
      <c r="I55" s="3576"/>
      <c r="J55" s="3576"/>
      <c r="K55" s="3576"/>
      <c r="L55" s="3576"/>
      <c r="M55" s="419"/>
      <c r="N55" s="3577" t="s">
        <v>1451</v>
      </c>
      <c r="O55" s="3578"/>
      <c r="P55" s="3578"/>
      <c r="Q55" s="3578"/>
      <c r="R55" s="3579"/>
      <c r="S55" s="419"/>
      <c r="T55" s="2733" t="s">
        <v>1451</v>
      </c>
      <c r="U55" s="2733"/>
      <c r="V55" s="2733"/>
      <c r="W55" s="2733"/>
      <c r="X55" s="2733"/>
      <c r="Y55" s="2733"/>
      <c r="Z55" s="2733" t="s">
        <v>1564</v>
      </c>
      <c r="AA55" s="2733"/>
      <c r="AB55" s="2733"/>
      <c r="AC55" s="2733"/>
      <c r="AD55" s="2733"/>
      <c r="AE55" s="1114"/>
      <c r="AF55" s="757"/>
      <c r="AG55" s="757"/>
      <c r="AH55" s="757"/>
      <c r="AI55" s="757"/>
      <c r="AJ55" s="757"/>
      <c r="AK55" s="1114"/>
      <c r="AL55" s="757"/>
      <c r="AM55" s="757"/>
      <c r="AN55" s="757"/>
      <c r="AO55" s="757"/>
      <c r="AP55" s="757"/>
    </row>
    <row r="56" spans="1:43" ht="30" customHeight="1">
      <c r="A56" s="436" t="s">
        <v>236</v>
      </c>
      <c r="B56" s="3820"/>
      <c r="C56" s="3821"/>
      <c r="D56" s="3809"/>
      <c r="E56" s="3811"/>
      <c r="F56" s="404" t="s">
        <v>420</v>
      </c>
      <c r="G56" s="405"/>
      <c r="H56" s="2346" t="s">
        <v>728</v>
      </c>
      <c r="I56" s="2347" t="s">
        <v>1</v>
      </c>
      <c r="J56" s="3822" t="s">
        <v>1</v>
      </c>
      <c r="K56" s="3822"/>
      <c r="L56" s="3823"/>
      <c r="M56" s="1094"/>
      <c r="N56" s="2346" t="s">
        <v>728</v>
      </c>
      <c r="O56" s="2347" t="s">
        <v>1</v>
      </c>
      <c r="P56" s="3822" t="s">
        <v>1</v>
      </c>
      <c r="Q56" s="3822"/>
      <c r="R56" s="3824"/>
      <c r="S56" s="437"/>
      <c r="T56" s="2733" t="s">
        <v>728</v>
      </c>
      <c r="U56" s="2733" t="s">
        <v>1</v>
      </c>
      <c r="V56" s="2733" t="s">
        <v>1</v>
      </c>
      <c r="W56" s="2733"/>
      <c r="X56" s="2733"/>
      <c r="Y56" s="2733"/>
      <c r="Z56" s="2733" t="s">
        <v>728</v>
      </c>
      <c r="AA56" s="2733" t="s">
        <v>1</v>
      </c>
      <c r="AB56" s="2733" t="s">
        <v>1</v>
      </c>
      <c r="AC56" s="2733"/>
      <c r="AD56" s="2733"/>
      <c r="AE56" s="1114"/>
      <c r="AF56" s="757"/>
      <c r="AG56" s="758"/>
      <c r="AH56" s="758"/>
      <c r="AI56" s="758"/>
      <c r="AJ56" s="758"/>
      <c r="AK56" s="426"/>
      <c r="AL56" s="758"/>
      <c r="AM56" s="758"/>
      <c r="AN56" s="758"/>
      <c r="AO56" s="758"/>
      <c r="AP56" s="758"/>
    </row>
    <row r="57" spans="1:43" ht="48.75" customHeight="1">
      <c r="A57" s="1095" t="s">
        <v>470</v>
      </c>
      <c r="B57" s="3137" t="s">
        <v>471</v>
      </c>
      <c r="C57" s="3743"/>
      <c r="D57" s="1065" t="s">
        <v>4</v>
      </c>
      <c r="E57" s="101" t="s">
        <v>472</v>
      </c>
      <c r="F57" s="1227">
        <v>15</v>
      </c>
      <c r="G57" s="407">
        <f>R.HN!C39</f>
        <v>20.3</v>
      </c>
      <c r="H57" s="2348">
        <f t="shared" ref="H57" si="0">G57</f>
        <v>20.3</v>
      </c>
      <c r="I57" s="2349">
        <f>($F$57-H57)*2160*3.34/1000</f>
        <v>-38.236320000000006</v>
      </c>
      <c r="J57" s="2349" t="s">
        <v>8</v>
      </c>
      <c r="K57" s="1757">
        <f>IF(H57=0,0,IF(I57&lt;0,0,I57))</f>
        <v>0</v>
      </c>
      <c r="L57" s="2350" t="s">
        <v>9</v>
      </c>
      <c r="M57" s="1472">
        <f>R.HN!D39</f>
        <v>0</v>
      </c>
      <c r="N57" s="2348">
        <f t="shared" ref="N57" si="1">M57</f>
        <v>0</v>
      </c>
      <c r="O57" s="2349">
        <f>($F$57-N57)*2160*3.34/1000</f>
        <v>108.21599999999999</v>
      </c>
      <c r="P57" s="2349" t="s">
        <v>8</v>
      </c>
      <c r="Q57" s="1757">
        <f>IF(N57=0,0,IF(O57&lt;0,0,O57))</f>
        <v>0</v>
      </c>
      <c r="R57" s="2361" t="s">
        <v>9</v>
      </c>
      <c r="S57" s="440">
        <f>R.HN!E39</f>
        <v>0</v>
      </c>
      <c r="T57" s="2733">
        <f t="shared" ref="T57" si="2">S57</f>
        <v>0</v>
      </c>
      <c r="U57" s="2733">
        <f>($F$57-T57)*2160*3.34/1000</f>
        <v>108.21599999999999</v>
      </c>
      <c r="V57" s="2733" t="s">
        <v>8</v>
      </c>
      <c r="W57" s="2733">
        <f>IF(T57=0,0,IF(U57&lt;0,0,U57))</f>
        <v>0</v>
      </c>
      <c r="X57" s="2733" t="s">
        <v>9</v>
      </c>
      <c r="Y57" s="2733">
        <f>R.HN!F39</f>
        <v>0</v>
      </c>
      <c r="Z57" s="2733">
        <f t="shared" ref="Z57" si="3">Y57</f>
        <v>0</v>
      </c>
      <c r="AA57" s="2733">
        <f>($F$57-Z57)*2160*3.34/1000</f>
        <v>108.21599999999999</v>
      </c>
      <c r="AB57" s="2733" t="s">
        <v>8</v>
      </c>
      <c r="AC57" s="2733">
        <f>IF(Z57=0,0,IF(AA57&lt;0,0,AA57))</f>
        <v>0</v>
      </c>
      <c r="AD57" s="2733" t="s">
        <v>9</v>
      </c>
      <c r="AE57" s="1114"/>
      <c r="AF57" s="757"/>
      <c r="AG57" s="759"/>
      <c r="AH57" s="760"/>
      <c r="AI57" s="761"/>
      <c r="AJ57" s="762"/>
      <c r="AK57" s="1115"/>
      <c r="AL57" s="759"/>
      <c r="AM57" s="759"/>
      <c r="AN57" s="760"/>
      <c r="AO57" s="761"/>
      <c r="AP57" s="762"/>
      <c r="AQ57" s="12" t="s">
        <v>473</v>
      </c>
    </row>
    <row r="58" spans="1:43" ht="48.75" customHeight="1">
      <c r="A58" s="1095" t="s">
        <v>474</v>
      </c>
      <c r="B58" s="3137" t="s">
        <v>475</v>
      </c>
      <c r="C58" s="3743"/>
      <c r="D58" s="1065" t="s">
        <v>4</v>
      </c>
      <c r="E58" s="1830" t="s">
        <v>1495</v>
      </c>
      <c r="F58" s="1227">
        <v>50</v>
      </c>
      <c r="G58" s="407">
        <f>R.HN!C40</f>
        <v>8.6</v>
      </c>
      <c r="H58" s="1726">
        <f>G58*6.49</f>
        <v>55.814</v>
      </c>
      <c r="I58" s="2351">
        <f>($F$58-H58)*2160*3.34/1000</f>
        <v>-41.944521600000002</v>
      </c>
      <c r="J58" s="2349" t="s">
        <v>8</v>
      </c>
      <c r="K58" s="1757">
        <f>IF(H58=0,0,IF(I58&lt;0,0,I58))</f>
        <v>0</v>
      </c>
      <c r="L58" s="2350" t="s">
        <v>9</v>
      </c>
      <c r="M58" s="1475">
        <f>R.HN!D40</f>
        <v>0</v>
      </c>
      <c r="N58" s="1726">
        <f>M58*6.49</f>
        <v>0</v>
      </c>
      <c r="O58" s="2349">
        <f>($F$58-N58)*2160*3.34/1000</f>
        <v>360.72</v>
      </c>
      <c r="P58" s="2349" t="s">
        <v>8</v>
      </c>
      <c r="Q58" s="1757">
        <f>IF(N58=0,0,IF(O58&lt;0,0,O58))</f>
        <v>0</v>
      </c>
      <c r="R58" s="2361" t="s">
        <v>9</v>
      </c>
      <c r="S58" s="440">
        <f>R.HN!E40</f>
        <v>0</v>
      </c>
      <c r="T58" s="2733">
        <f>S58*6.49</f>
        <v>0</v>
      </c>
      <c r="U58" s="2733">
        <f>($F$58-T58)*2160*3.34/1000</f>
        <v>360.72</v>
      </c>
      <c r="V58" s="2733" t="s">
        <v>8</v>
      </c>
      <c r="W58" s="2733">
        <f>IF(T58=0,0,IF(U58&lt;0,0,U58))</f>
        <v>0</v>
      </c>
      <c r="X58" s="2733" t="s">
        <v>9</v>
      </c>
      <c r="Y58" s="2733">
        <f>R.HN!F40</f>
        <v>0</v>
      </c>
      <c r="Z58" s="2733">
        <f>Y58*6.49</f>
        <v>0</v>
      </c>
      <c r="AA58" s="2733">
        <f>($F$58-Z58)*2160*3.34/1000</f>
        <v>360.72</v>
      </c>
      <c r="AB58" s="2733" t="s">
        <v>8</v>
      </c>
      <c r="AC58" s="2733">
        <f>IF(Z58=0,0,IF(AA58&lt;0,0,AA58))</f>
        <v>0</v>
      </c>
      <c r="AD58" s="2733" t="s">
        <v>9</v>
      </c>
      <c r="AE58" s="1114"/>
      <c r="AF58" s="757"/>
      <c r="AG58" s="759"/>
      <c r="AH58" s="760"/>
      <c r="AI58" s="761"/>
      <c r="AJ58" s="762"/>
      <c r="AK58" s="1115"/>
      <c r="AL58" s="759"/>
      <c r="AM58" s="759"/>
      <c r="AN58" s="760"/>
      <c r="AO58" s="761"/>
      <c r="AP58" s="762"/>
      <c r="AQ58" s="12" t="s">
        <v>473</v>
      </c>
    </row>
    <row r="59" spans="1:43" ht="48.75" customHeight="1">
      <c r="A59" s="1095" t="s">
        <v>476</v>
      </c>
      <c r="B59" s="3137" t="s">
        <v>477</v>
      </c>
      <c r="C59" s="3743"/>
      <c r="D59" s="1065" t="s">
        <v>4</v>
      </c>
      <c r="E59" s="1830" t="s">
        <v>1495</v>
      </c>
      <c r="F59" s="1227">
        <v>50</v>
      </c>
      <c r="G59" s="407">
        <f>R.HN!C41</f>
        <v>8.6999999999999993</v>
      </c>
      <c r="H59" s="1726">
        <f>G59*6.49</f>
        <v>56.462999999999994</v>
      </c>
      <c r="I59" s="2351">
        <f>($F$59-H59)*2700*3.33/1000</f>
        <v>-58.108832999999947</v>
      </c>
      <c r="J59" s="2349" t="s">
        <v>8</v>
      </c>
      <c r="K59" s="1757">
        <f>IF(H59=0,0,IF(I59&lt;0,0,I59))</f>
        <v>0</v>
      </c>
      <c r="L59" s="2350" t="s">
        <v>9</v>
      </c>
      <c r="M59" s="1475">
        <f>R.HN!D41</f>
        <v>0</v>
      </c>
      <c r="N59" s="1726">
        <f>M59*6.49</f>
        <v>0</v>
      </c>
      <c r="O59" s="2349">
        <f>($F$59-N59)*2700*3.33/1000</f>
        <v>449.55</v>
      </c>
      <c r="P59" s="2349" t="s">
        <v>8</v>
      </c>
      <c r="Q59" s="1757">
        <f>IF(N59=0,0,IF(O59&lt;0,0,O59))</f>
        <v>0</v>
      </c>
      <c r="R59" s="2361" t="s">
        <v>9</v>
      </c>
      <c r="S59" s="440">
        <f>R.HN!E41</f>
        <v>0</v>
      </c>
      <c r="T59" s="2733">
        <f>S59*6.49</f>
        <v>0</v>
      </c>
      <c r="U59" s="2733">
        <f>($F$59-T59)*2700*3.33/1000</f>
        <v>449.55</v>
      </c>
      <c r="V59" s="2733" t="s">
        <v>8</v>
      </c>
      <c r="W59" s="2733">
        <f>IF(T59=0,0,IF(U59&lt;0,0,U59))</f>
        <v>0</v>
      </c>
      <c r="X59" s="2733" t="s">
        <v>9</v>
      </c>
      <c r="Y59" s="2733">
        <f>R.HN!F41</f>
        <v>0</v>
      </c>
      <c r="Z59" s="2733">
        <f>Y59*6.49</f>
        <v>0</v>
      </c>
      <c r="AA59" s="2733">
        <f>($F$59-Z59)*2700*3.33/1000</f>
        <v>449.55</v>
      </c>
      <c r="AB59" s="2733" t="s">
        <v>8</v>
      </c>
      <c r="AC59" s="2733">
        <f>IF(Z59=0,0,IF(AA59&lt;0,0,AA59))</f>
        <v>0</v>
      </c>
      <c r="AD59" s="2733" t="s">
        <v>9</v>
      </c>
      <c r="AE59" s="1114"/>
      <c r="AF59" s="757"/>
      <c r="AG59" s="759"/>
      <c r="AH59" s="760"/>
      <c r="AI59" s="761"/>
      <c r="AJ59" s="762"/>
      <c r="AK59" s="1115"/>
      <c r="AL59" s="759"/>
      <c r="AM59" s="759"/>
      <c r="AN59" s="760"/>
      <c r="AO59" s="761"/>
      <c r="AP59" s="762"/>
      <c r="AQ59" s="12" t="s">
        <v>473</v>
      </c>
    </row>
    <row r="60" spans="1:43" ht="48.75" hidden="1" customHeight="1">
      <c r="A60" s="1095" t="s">
        <v>478</v>
      </c>
      <c r="B60" s="3137" t="s">
        <v>479</v>
      </c>
      <c r="C60" s="3743"/>
      <c r="D60" s="1065" t="s">
        <v>429</v>
      </c>
      <c r="E60" s="47" t="s">
        <v>1079</v>
      </c>
      <c r="F60" s="411">
        <v>10</v>
      </c>
      <c r="G60" s="407">
        <f>R.HN!C42</f>
        <v>0</v>
      </c>
      <c r="H60" s="2348">
        <f t="shared" ref="H60:H62" si="4">G60</f>
        <v>0</v>
      </c>
      <c r="I60" s="2349">
        <f>($F$60-H60)*2160*5.77/1000</f>
        <v>124.63199999999999</v>
      </c>
      <c r="J60" s="2349" t="s">
        <v>8</v>
      </c>
      <c r="K60" s="2351">
        <f t="shared" ref="K60" si="5">IF(I60&lt;0,0,I60)</f>
        <v>124.63199999999999</v>
      </c>
      <c r="L60" s="2352" t="s">
        <v>10</v>
      </c>
      <c r="M60" s="1471">
        <f>R.HN!D42</f>
        <v>0</v>
      </c>
      <c r="N60" s="2348">
        <f t="shared" ref="N60:N62" si="6">M60</f>
        <v>0</v>
      </c>
      <c r="O60" s="2349">
        <f>($F$60-N60)*2160*5.77/1000</f>
        <v>124.63199999999999</v>
      </c>
      <c r="P60" s="2349" t="s">
        <v>8</v>
      </c>
      <c r="Q60" s="2351">
        <f t="shared" ref="Q60" si="7">IF(O60&lt;0,0,O60)</f>
        <v>124.63199999999999</v>
      </c>
      <c r="R60" s="2361" t="s">
        <v>10</v>
      </c>
      <c r="S60" s="440">
        <f>R.HN!E42</f>
        <v>0</v>
      </c>
      <c r="T60" s="2733">
        <f t="shared" ref="T60:T62" si="8">S60</f>
        <v>0</v>
      </c>
      <c r="U60" s="2733">
        <f>($F$60-T60)*2160*5.77/1000</f>
        <v>124.63199999999999</v>
      </c>
      <c r="V60" s="2733" t="s">
        <v>8</v>
      </c>
      <c r="W60" s="2733">
        <f t="shared" ref="W60" si="9">IF(U60&lt;0,0,U60)</f>
        <v>124.63199999999999</v>
      </c>
      <c r="X60" s="2733" t="s">
        <v>10</v>
      </c>
      <c r="Y60" s="2733">
        <f>R.HN!F42</f>
        <v>0</v>
      </c>
      <c r="Z60" s="2733">
        <f t="shared" ref="Z60:Z62" si="10">Y60</f>
        <v>0</v>
      </c>
      <c r="AA60" s="2733">
        <f>($F$60-Z60)*2160*5.77/1000</f>
        <v>124.63199999999999</v>
      </c>
      <c r="AB60" s="2733" t="s">
        <v>8</v>
      </c>
      <c r="AC60" s="2733">
        <f t="shared" ref="AC60" si="11">IF(AA60&lt;0,0,AA60)</f>
        <v>124.63199999999999</v>
      </c>
      <c r="AD60" s="2733" t="s">
        <v>10</v>
      </c>
      <c r="AE60" s="1114"/>
      <c r="AF60" s="757"/>
      <c r="AG60" s="759"/>
      <c r="AH60" s="760"/>
      <c r="AI60" s="761"/>
      <c r="AJ60" s="762"/>
      <c r="AK60" s="1115"/>
      <c r="AL60" s="759"/>
      <c r="AM60" s="759"/>
      <c r="AN60" s="760"/>
      <c r="AO60" s="761"/>
      <c r="AP60" s="762"/>
      <c r="AQ60" s="12" t="s">
        <v>473</v>
      </c>
    </row>
    <row r="61" spans="1:43" ht="48.75" customHeight="1">
      <c r="A61" s="1095" t="s">
        <v>480</v>
      </c>
      <c r="B61" s="3137" t="s">
        <v>481</v>
      </c>
      <c r="C61" s="3743"/>
      <c r="D61" s="1065" t="s">
        <v>429</v>
      </c>
      <c r="E61" s="47" t="s">
        <v>482</v>
      </c>
      <c r="F61" s="406">
        <v>1.5</v>
      </c>
      <c r="G61" s="407">
        <f>R.HN!C43</f>
        <v>1.2</v>
      </c>
      <c r="H61" s="2353">
        <f t="shared" si="4"/>
        <v>1.2</v>
      </c>
      <c r="I61" s="2349">
        <f>(H61-$F$61)*2430*3.3/1000</f>
        <v>-2.4057000000000004</v>
      </c>
      <c r="J61" s="2349" t="s">
        <v>8</v>
      </c>
      <c r="K61" s="1768">
        <f>IF(H61=0,0,IF(I61&lt;0,0,I61))</f>
        <v>0</v>
      </c>
      <c r="L61" s="2352" t="s">
        <v>9</v>
      </c>
      <c r="M61" s="1471">
        <f>R.HN!D43</f>
        <v>0</v>
      </c>
      <c r="N61" s="2353">
        <f t="shared" si="6"/>
        <v>0</v>
      </c>
      <c r="O61" s="2349">
        <f>(N61-$F$61)*2430*3.3/1000</f>
        <v>-12.028499999999999</v>
      </c>
      <c r="P61" s="2349" t="s">
        <v>8</v>
      </c>
      <c r="Q61" s="1768">
        <f>IF(N61=0,0,IF(O61&lt;0,0,O61))</f>
        <v>0</v>
      </c>
      <c r="R61" s="2361" t="s">
        <v>9</v>
      </c>
      <c r="S61" s="440">
        <f>R.HN!E43</f>
        <v>0</v>
      </c>
      <c r="T61" s="2733">
        <f t="shared" si="8"/>
        <v>0</v>
      </c>
      <c r="U61" s="2733">
        <f>(T61-$F$61)*2430*3.3/1000</f>
        <v>-12.028499999999999</v>
      </c>
      <c r="V61" s="2733" t="s">
        <v>8</v>
      </c>
      <c r="W61" s="2733">
        <f>IF(T61=0,0,IF(U61&lt;0,0,U61))</f>
        <v>0</v>
      </c>
      <c r="X61" s="2733" t="s">
        <v>9</v>
      </c>
      <c r="Y61" s="2733">
        <f>R.HN!F43</f>
        <v>0</v>
      </c>
      <c r="Z61" s="2733">
        <f t="shared" si="10"/>
        <v>0</v>
      </c>
      <c r="AA61" s="2733">
        <f>(Z61-$F$61)*2430*3.3/1000</f>
        <v>-12.028499999999999</v>
      </c>
      <c r="AB61" s="2733" t="s">
        <v>8</v>
      </c>
      <c r="AC61" s="2733">
        <f>IF(Z61=0,0,IF(AA61&lt;0,0,AA61))</f>
        <v>0</v>
      </c>
      <c r="AD61" s="2733" t="s">
        <v>9</v>
      </c>
      <c r="AE61" s="1114"/>
      <c r="AF61" s="757"/>
      <c r="AG61" s="759"/>
      <c r="AH61" s="760"/>
      <c r="AI61" s="763"/>
      <c r="AJ61" s="762"/>
      <c r="AK61" s="1115"/>
      <c r="AL61" s="759"/>
      <c r="AM61" s="759"/>
      <c r="AN61" s="760"/>
      <c r="AO61" s="763"/>
      <c r="AP61" s="762"/>
      <c r="AQ61" s="12" t="s">
        <v>473</v>
      </c>
    </row>
    <row r="62" spans="1:43" ht="48.75" customHeight="1">
      <c r="A62" s="1095" t="s">
        <v>483</v>
      </c>
      <c r="B62" s="3137" t="s">
        <v>484</v>
      </c>
      <c r="C62" s="3743"/>
      <c r="D62" s="1065" t="s">
        <v>429</v>
      </c>
      <c r="E62" s="47" t="s">
        <v>485</v>
      </c>
      <c r="F62" s="411">
        <v>22.5</v>
      </c>
      <c r="G62" s="407">
        <f>R.HN!C44</f>
        <v>23.5</v>
      </c>
      <c r="H62" s="2348">
        <f t="shared" si="4"/>
        <v>23.5</v>
      </c>
      <c r="I62" s="2349">
        <f>($F$62-H62)*2430*4/1000</f>
        <v>-9.7200000000000006</v>
      </c>
      <c r="J62" s="2349" t="s">
        <v>8</v>
      </c>
      <c r="K62" s="1757">
        <f>IF(H62=0,0,IF(I62&lt;0,0,I62))</f>
        <v>0</v>
      </c>
      <c r="L62" s="2352" t="s">
        <v>9</v>
      </c>
      <c r="M62" s="1471">
        <f>R.HN!D44</f>
        <v>0</v>
      </c>
      <c r="N62" s="2348">
        <f t="shared" si="6"/>
        <v>0</v>
      </c>
      <c r="O62" s="2349">
        <f>($F$62-N62)*2430*4/1000</f>
        <v>218.7</v>
      </c>
      <c r="P62" s="2349" t="s">
        <v>8</v>
      </c>
      <c r="Q62" s="1757">
        <f>IF(N62=0,0,IF(O62&lt;0,0,O62))</f>
        <v>0</v>
      </c>
      <c r="R62" s="2361" t="s">
        <v>9</v>
      </c>
      <c r="S62" s="440">
        <f>R.HN!E44</f>
        <v>0</v>
      </c>
      <c r="T62" s="2733">
        <f t="shared" si="8"/>
        <v>0</v>
      </c>
      <c r="U62" s="2733">
        <f>($F$62-T62)*2430*4/1000</f>
        <v>218.7</v>
      </c>
      <c r="V62" s="2733" t="s">
        <v>8</v>
      </c>
      <c r="W62" s="2733">
        <f>IF(T62=0,0,IF(U62&lt;0,0,U62))</f>
        <v>0</v>
      </c>
      <c r="X62" s="2733" t="s">
        <v>9</v>
      </c>
      <c r="Y62" s="2733">
        <f>R.HN!F44</f>
        <v>0</v>
      </c>
      <c r="Z62" s="2733">
        <f t="shared" si="10"/>
        <v>0</v>
      </c>
      <c r="AA62" s="2733">
        <f>($F$62-Z62)*2430*4/1000</f>
        <v>218.7</v>
      </c>
      <c r="AB62" s="2733" t="s">
        <v>8</v>
      </c>
      <c r="AC62" s="2733">
        <f>IF(Z62=0,0,IF(AA62&lt;0,0,AA62))</f>
        <v>0</v>
      </c>
      <c r="AD62" s="2733" t="s">
        <v>9</v>
      </c>
      <c r="AE62" s="1115"/>
      <c r="AF62" s="759"/>
      <c r="AG62" s="759"/>
      <c r="AH62" s="760"/>
      <c r="AI62" s="761"/>
      <c r="AJ62" s="762"/>
      <c r="AK62" s="1115"/>
      <c r="AL62" s="759"/>
      <c r="AM62" s="759"/>
      <c r="AN62" s="760"/>
      <c r="AO62" s="761"/>
      <c r="AP62" s="762"/>
      <c r="AQ62" s="12" t="s">
        <v>473</v>
      </c>
    </row>
    <row r="63" spans="1:43" ht="48.75" customHeight="1">
      <c r="A63" s="1095" t="s">
        <v>486</v>
      </c>
      <c r="B63" s="3137" t="s">
        <v>487</v>
      </c>
      <c r="C63" s="3743"/>
      <c r="D63" s="1065" t="s">
        <v>429</v>
      </c>
      <c r="E63" s="591" t="s">
        <v>488</v>
      </c>
      <c r="F63" s="406">
        <v>7.5</v>
      </c>
      <c r="G63" s="407">
        <f>R.HN!C45</f>
        <v>7.5</v>
      </c>
      <c r="H63" s="2348">
        <f>R.HN!C45</f>
        <v>7.5</v>
      </c>
      <c r="I63" s="2349">
        <f>($F$63-H63)*2430*0.43/1000</f>
        <v>0</v>
      </c>
      <c r="J63" s="2349" t="s">
        <v>8</v>
      </c>
      <c r="K63" s="1768">
        <f>IF(H63=0,0,IF(I63&lt;0,0,I63))</f>
        <v>0</v>
      </c>
      <c r="L63" s="2352" t="s">
        <v>9</v>
      </c>
      <c r="M63" s="1471">
        <f>R.HN!D45</f>
        <v>0</v>
      </c>
      <c r="N63" s="2348">
        <f>R.HN!D45</f>
        <v>0</v>
      </c>
      <c r="O63" s="2349">
        <f>($F$63-N63)*2430*0.43/1000</f>
        <v>7.8367500000000003</v>
      </c>
      <c r="P63" s="2349" t="s">
        <v>8</v>
      </c>
      <c r="Q63" s="1768">
        <f>IF(N63=0,0,IF(O63&lt;0,0,O63))</f>
        <v>0</v>
      </c>
      <c r="R63" s="2361" t="s">
        <v>9</v>
      </c>
      <c r="S63" s="440">
        <f>R.HN!E45</f>
        <v>0</v>
      </c>
      <c r="T63" s="2733">
        <f>R.HN!E45</f>
        <v>0</v>
      </c>
      <c r="U63" s="2733">
        <f>($F$63-T63)*2430*0.43/1000</f>
        <v>7.8367500000000003</v>
      </c>
      <c r="V63" s="2733" t="s">
        <v>8</v>
      </c>
      <c r="W63" s="2733">
        <f>IF(T63=0,0,IF(U63&lt;0,0,U63))</f>
        <v>0</v>
      </c>
      <c r="X63" s="2733" t="s">
        <v>9</v>
      </c>
      <c r="Y63" s="2733">
        <f>R.HN!F45</f>
        <v>0</v>
      </c>
      <c r="Z63" s="2733">
        <f>R.HN!F45</f>
        <v>0</v>
      </c>
      <c r="AA63" s="2733">
        <f>($F$63-Z63)*2430*0.43/1000</f>
        <v>7.8367500000000003</v>
      </c>
      <c r="AB63" s="2733" t="s">
        <v>8</v>
      </c>
      <c r="AC63" s="2733">
        <f>IF(Z63=0,0,IF(AA63&lt;0,0,AA63))</f>
        <v>0</v>
      </c>
      <c r="AD63" s="2733" t="s">
        <v>9</v>
      </c>
      <c r="AE63" s="1115"/>
      <c r="AF63" s="759"/>
      <c r="AG63" s="759"/>
      <c r="AH63" s="760"/>
      <c r="AI63" s="763"/>
      <c r="AJ63" s="762"/>
      <c r="AK63" s="1115"/>
      <c r="AL63" s="759"/>
      <c r="AM63" s="759"/>
      <c r="AN63" s="760"/>
      <c r="AO63" s="763"/>
      <c r="AP63" s="762"/>
      <c r="AQ63" s="12" t="s">
        <v>473</v>
      </c>
    </row>
    <row r="64" spans="1:43" ht="48.75" customHeight="1">
      <c r="A64" s="1095" t="s">
        <v>489</v>
      </c>
      <c r="B64" s="3137" t="s">
        <v>490</v>
      </c>
      <c r="C64" s="3743"/>
      <c r="D64" s="1065" t="s">
        <v>5</v>
      </c>
      <c r="E64" s="47" t="s">
        <v>491</v>
      </c>
      <c r="F64" s="1116"/>
      <c r="G64" s="407"/>
      <c r="H64" s="2348">
        <f>R.HN!C46</f>
        <v>7.3</v>
      </c>
      <c r="I64" s="2349"/>
      <c r="J64" s="2349"/>
      <c r="K64" s="2351"/>
      <c r="L64" s="2352"/>
      <c r="M64" s="1471"/>
      <c r="N64" s="2348">
        <f>R.HN!D46</f>
        <v>0</v>
      </c>
      <c r="O64" s="2349"/>
      <c r="P64" s="2349"/>
      <c r="Q64" s="2351"/>
      <c r="R64" s="2361"/>
      <c r="S64" s="440"/>
      <c r="T64" s="2733">
        <f>R.HN!E46</f>
        <v>0</v>
      </c>
      <c r="U64" s="2733"/>
      <c r="V64" s="2733"/>
      <c r="W64" s="2733"/>
      <c r="X64" s="2733"/>
      <c r="Y64" s="2733"/>
      <c r="Z64" s="2733">
        <f>R.HN!F46</f>
        <v>0</v>
      </c>
      <c r="AA64" s="2733"/>
      <c r="AB64" s="2733"/>
      <c r="AC64" s="2733"/>
      <c r="AD64" s="2733"/>
      <c r="AE64" s="1115"/>
      <c r="AF64" s="759"/>
      <c r="AG64" s="759"/>
      <c r="AH64" s="760"/>
      <c r="AI64" s="763"/>
      <c r="AJ64" s="762"/>
      <c r="AK64" s="1115"/>
      <c r="AL64" s="759"/>
      <c r="AM64" s="759"/>
      <c r="AN64" s="760"/>
      <c r="AO64" s="763"/>
      <c r="AP64" s="762"/>
      <c r="AQ64" s="12" t="s">
        <v>473</v>
      </c>
    </row>
    <row r="65" spans="1:43" ht="42" customHeight="1">
      <c r="A65" s="1095" t="s">
        <v>492</v>
      </c>
      <c r="B65" s="3137" t="s">
        <v>493</v>
      </c>
      <c r="C65" s="3743"/>
      <c r="D65" s="1065" t="s">
        <v>5</v>
      </c>
      <c r="E65" s="591" t="s">
        <v>494</v>
      </c>
      <c r="F65" s="406"/>
      <c r="G65" s="407">
        <f>R.HN!C44</f>
        <v>23.5</v>
      </c>
      <c r="H65" s="2348">
        <f>R.HN!C47</f>
        <v>5.4</v>
      </c>
      <c r="I65" s="2349">
        <f>($F$63-H65)*2430*0.43/1000</f>
        <v>2.1942899999999996</v>
      </c>
      <c r="J65" s="2349"/>
      <c r="K65" s="2351"/>
      <c r="L65" s="2352"/>
      <c r="M65" s="1471">
        <f>R.HN!D44</f>
        <v>0</v>
      </c>
      <c r="N65" s="2348">
        <f>R.HN!D47</f>
        <v>0</v>
      </c>
      <c r="O65" s="2349">
        <f>($F$63-N65)*2430*0.43/1000</f>
        <v>7.8367500000000003</v>
      </c>
      <c r="P65" s="2349"/>
      <c r="Q65" s="2351"/>
      <c r="R65" s="2361"/>
      <c r="S65" s="440">
        <f>R.HN!E44</f>
        <v>0</v>
      </c>
      <c r="T65" s="2733">
        <f>R.HN!E47</f>
        <v>0</v>
      </c>
      <c r="U65" s="2733">
        <f>($F$63-T65)*2430*0.43/1000</f>
        <v>7.8367500000000003</v>
      </c>
      <c r="V65" s="2733"/>
      <c r="W65" s="2733"/>
      <c r="X65" s="2733"/>
      <c r="Y65" s="2733">
        <f>R.HN!F44</f>
        <v>0</v>
      </c>
      <c r="Z65" s="2733">
        <f>R.HN!F47</f>
        <v>0</v>
      </c>
      <c r="AA65" s="2733">
        <f>($F$63-Z65)*2430*0.43/1000</f>
        <v>7.8367500000000003</v>
      </c>
      <c r="AB65" s="2733"/>
      <c r="AC65" s="2733"/>
      <c r="AD65" s="2733"/>
      <c r="AE65" s="1115"/>
      <c r="AF65" s="759"/>
      <c r="AG65" s="759"/>
      <c r="AH65" s="760"/>
      <c r="AI65" s="763"/>
      <c r="AJ65" s="762"/>
      <c r="AK65" s="1115"/>
      <c r="AL65" s="759"/>
      <c r="AM65" s="759"/>
      <c r="AN65" s="760"/>
      <c r="AO65" s="763"/>
      <c r="AP65" s="762"/>
      <c r="AQ65" s="12" t="s">
        <v>473</v>
      </c>
    </row>
    <row r="66" spans="1:43" ht="42" hidden="1" customHeight="1">
      <c r="A66" s="1095" t="s">
        <v>495</v>
      </c>
      <c r="B66" s="3137" t="s">
        <v>496</v>
      </c>
      <c r="C66" s="3743"/>
      <c r="D66" s="1065" t="s">
        <v>5</v>
      </c>
      <c r="E66" s="591" t="s">
        <v>494</v>
      </c>
      <c r="F66" s="406"/>
      <c r="G66" s="407"/>
      <c r="H66" s="2354">
        <f>R.HN!C48</f>
        <v>0</v>
      </c>
      <c r="I66" s="2355"/>
      <c r="J66" s="2356"/>
      <c r="K66" s="2357"/>
      <c r="L66" s="2358"/>
      <c r="M66" s="408"/>
      <c r="N66" s="2354">
        <f>R.HN!D48</f>
        <v>0</v>
      </c>
      <c r="O66" s="2355"/>
      <c r="P66" s="2356"/>
      <c r="Q66" s="2357"/>
      <c r="R66" s="2361"/>
      <c r="S66" s="440"/>
      <c r="T66" s="2733">
        <f>R.HN!J48</f>
        <v>0</v>
      </c>
      <c r="U66" s="2733"/>
      <c r="V66" s="2733"/>
      <c r="W66" s="2733"/>
      <c r="X66" s="2733"/>
      <c r="Y66" s="2733"/>
      <c r="Z66" s="2733">
        <f>R.HN!P48</f>
        <v>0</v>
      </c>
      <c r="AA66" s="2733"/>
      <c r="AB66" s="2733"/>
      <c r="AC66" s="2733"/>
      <c r="AD66" s="2733"/>
      <c r="AE66" s="1115"/>
      <c r="AF66" s="759"/>
      <c r="AG66" s="759"/>
      <c r="AH66" s="760"/>
      <c r="AI66" s="763"/>
      <c r="AJ66" s="762"/>
      <c r="AK66" s="1115"/>
      <c r="AL66" s="759"/>
      <c r="AM66" s="759"/>
      <c r="AN66" s="760"/>
      <c r="AO66" s="763"/>
      <c r="AP66" s="762"/>
      <c r="AQ66" s="12" t="s">
        <v>473</v>
      </c>
    </row>
    <row r="67" spans="1:43" ht="42" customHeight="1">
      <c r="A67" s="1095" t="s">
        <v>497</v>
      </c>
      <c r="B67" s="3137" t="s">
        <v>371</v>
      </c>
      <c r="C67" s="3743"/>
      <c r="D67" s="1065" t="s">
        <v>3</v>
      </c>
      <c r="E67" s="591" t="s">
        <v>372</v>
      </c>
      <c r="F67" s="1117">
        <v>15</v>
      </c>
      <c r="G67" s="407"/>
      <c r="H67" s="2359">
        <f>IFERROR('ED-XI DEN'!L15*100,"")</f>
        <v>15.035953785246829</v>
      </c>
      <c r="I67" s="2355">
        <f>($F$67-H67)*2295/100</f>
        <v>-0.82513937141471572</v>
      </c>
      <c r="J67" s="2356" t="s">
        <v>8</v>
      </c>
      <c r="K67" s="2357">
        <f>IFERROR(IF(I67&lt;0,0,I67),"")</f>
        <v>0</v>
      </c>
      <c r="L67" s="2358" t="s">
        <v>10</v>
      </c>
      <c r="M67" s="408"/>
      <c r="N67" s="2362" t="s">
        <v>1080</v>
      </c>
      <c r="O67" s="2355"/>
      <c r="P67" s="2356"/>
      <c r="Q67" s="2357"/>
      <c r="R67" s="2361"/>
      <c r="S67" s="440"/>
      <c r="T67" s="2733" t="s">
        <v>46</v>
      </c>
      <c r="U67" s="2733"/>
      <c r="V67" s="2733"/>
      <c r="W67" s="2733"/>
      <c r="X67" s="2733"/>
      <c r="Y67" s="2733"/>
      <c r="Z67" s="2733" t="s">
        <v>46</v>
      </c>
      <c r="AA67" s="2733"/>
      <c r="AB67" s="2733"/>
      <c r="AC67" s="2733"/>
      <c r="AD67" s="2733"/>
      <c r="AE67" s="1115"/>
      <c r="AF67" s="759"/>
      <c r="AG67" s="759"/>
      <c r="AH67" s="760"/>
      <c r="AI67" s="763"/>
      <c r="AJ67" s="762"/>
      <c r="AK67" s="1115"/>
      <c r="AL67" s="759"/>
      <c r="AM67" s="759"/>
      <c r="AN67" s="760"/>
      <c r="AO67" s="763"/>
      <c r="AP67" s="762"/>
      <c r="AQ67" s="12" t="s">
        <v>473</v>
      </c>
    </row>
    <row r="68" spans="1:43" ht="42" customHeight="1">
      <c r="A68" s="1095" t="s">
        <v>498</v>
      </c>
      <c r="B68" s="3137" t="s">
        <v>373</v>
      </c>
      <c r="C68" s="3743"/>
      <c r="D68" s="1065" t="s">
        <v>3</v>
      </c>
      <c r="E68" s="591" t="s">
        <v>374</v>
      </c>
      <c r="F68" s="1117">
        <v>12</v>
      </c>
      <c r="G68" s="407"/>
      <c r="H68" s="2359" t="str">
        <f>IFERROR('ED-XI DEN'!L16*100,"")</f>
        <v/>
      </c>
      <c r="I68" s="2355" t="e">
        <f>($F$68-H68)*2295/100</f>
        <v>#VALUE!</v>
      </c>
      <c r="J68" s="2356" t="s">
        <v>8</v>
      </c>
      <c r="K68" s="2357" t="str">
        <f t="shared" ref="K68:K70" si="12">IFERROR(IF(I68&lt;0,0,I68),"")</f>
        <v/>
      </c>
      <c r="L68" s="2358" t="s">
        <v>10</v>
      </c>
      <c r="M68" s="408"/>
      <c r="N68" s="2362" t="s">
        <v>1080</v>
      </c>
      <c r="O68" s="2355"/>
      <c r="P68" s="2356"/>
      <c r="Q68" s="2357"/>
      <c r="R68" s="2361"/>
      <c r="S68" s="440"/>
      <c r="T68" s="2733" t="s">
        <v>46</v>
      </c>
      <c r="U68" s="2733"/>
      <c r="V68" s="2733"/>
      <c r="W68" s="2733"/>
      <c r="X68" s="2733"/>
      <c r="Y68" s="2733"/>
      <c r="Z68" s="2733" t="s">
        <v>46</v>
      </c>
      <c r="AA68" s="2733"/>
      <c r="AB68" s="2733"/>
      <c r="AC68" s="2733"/>
      <c r="AD68" s="2733"/>
      <c r="AE68" s="1115"/>
      <c r="AF68" s="759"/>
      <c r="AG68" s="759"/>
      <c r="AH68" s="760"/>
      <c r="AI68" s="763"/>
      <c r="AJ68" s="762"/>
      <c r="AK68" s="1115"/>
      <c r="AL68" s="759"/>
      <c r="AM68" s="759"/>
      <c r="AN68" s="760"/>
      <c r="AO68" s="763"/>
      <c r="AP68" s="762"/>
      <c r="AQ68" s="12" t="s">
        <v>473</v>
      </c>
    </row>
    <row r="69" spans="1:43" ht="34.5" hidden="1" customHeight="1">
      <c r="A69" s="1095" t="s">
        <v>499</v>
      </c>
      <c r="B69" s="3137" t="s">
        <v>375</v>
      </c>
      <c r="C69" s="3743"/>
      <c r="D69" s="1065" t="s">
        <v>3</v>
      </c>
      <c r="E69" s="591" t="s">
        <v>372</v>
      </c>
      <c r="F69" s="1117">
        <v>15</v>
      </c>
      <c r="G69" s="407"/>
      <c r="H69" s="2359" t="str">
        <f>IFERROR('ED-XI DEN'!L17*100,"")</f>
        <v/>
      </c>
      <c r="I69" s="2355" t="e">
        <f>($F$69-H69)*2295/100</f>
        <v>#VALUE!</v>
      </c>
      <c r="J69" s="2356" t="s">
        <v>8</v>
      </c>
      <c r="K69" s="2357" t="str">
        <f t="shared" si="12"/>
        <v/>
      </c>
      <c r="L69" s="2358" t="s">
        <v>10</v>
      </c>
      <c r="M69" s="408"/>
      <c r="N69" s="2362" t="s">
        <v>1080</v>
      </c>
      <c r="O69" s="2355"/>
      <c r="P69" s="2356"/>
      <c r="Q69" s="2357"/>
      <c r="R69" s="2361"/>
      <c r="S69" s="440"/>
      <c r="T69" s="2733" t="s">
        <v>46</v>
      </c>
      <c r="U69" s="2733"/>
      <c r="V69" s="2733"/>
      <c r="W69" s="2733"/>
      <c r="X69" s="2733"/>
      <c r="Y69" s="2733"/>
      <c r="Z69" s="2733" t="s">
        <v>46</v>
      </c>
      <c r="AA69" s="2733"/>
      <c r="AB69" s="2733"/>
      <c r="AC69" s="2733"/>
      <c r="AD69" s="2733"/>
      <c r="AE69" s="1115"/>
      <c r="AF69" s="759"/>
      <c r="AG69" s="759"/>
      <c r="AH69" s="760"/>
      <c r="AI69" s="763"/>
      <c r="AJ69" s="762"/>
      <c r="AK69" s="1115"/>
      <c r="AL69" s="759"/>
      <c r="AM69" s="759"/>
      <c r="AN69" s="760"/>
      <c r="AO69" s="763"/>
      <c r="AP69" s="762"/>
      <c r="AQ69" s="12" t="s">
        <v>473</v>
      </c>
    </row>
    <row r="70" spans="1:43" ht="34.5" hidden="1" customHeight="1">
      <c r="A70" s="1095" t="s">
        <v>500</v>
      </c>
      <c r="B70" s="3137" t="s">
        <v>376</v>
      </c>
      <c r="C70" s="3743"/>
      <c r="D70" s="1065" t="s">
        <v>3</v>
      </c>
      <c r="E70" s="591" t="s">
        <v>374</v>
      </c>
      <c r="F70" s="1117">
        <v>12</v>
      </c>
      <c r="G70" s="407"/>
      <c r="H70" s="2359" t="str">
        <f>IFERROR('ED-XI DEN'!L18*100,"")</f>
        <v/>
      </c>
      <c r="I70" s="2355" t="e">
        <f>($F$70-H70)*2295/100</f>
        <v>#VALUE!</v>
      </c>
      <c r="J70" s="2356" t="s">
        <v>8</v>
      </c>
      <c r="K70" s="2357" t="str">
        <f t="shared" si="12"/>
        <v/>
      </c>
      <c r="L70" s="2358" t="s">
        <v>10</v>
      </c>
      <c r="M70" s="408"/>
      <c r="N70" s="2362" t="s">
        <v>1080</v>
      </c>
      <c r="O70" s="2355"/>
      <c r="P70" s="2356"/>
      <c r="Q70" s="2357"/>
      <c r="R70" s="2361"/>
      <c r="S70" s="440"/>
      <c r="T70" s="2733" t="s">
        <v>46</v>
      </c>
      <c r="U70" s="2733"/>
      <c r="V70" s="2733"/>
      <c r="W70" s="2733"/>
      <c r="X70" s="2733"/>
      <c r="Y70" s="2733"/>
      <c r="Z70" s="2733" t="s">
        <v>46</v>
      </c>
      <c r="AA70" s="2733"/>
      <c r="AB70" s="2733"/>
      <c r="AC70" s="2733"/>
      <c r="AD70" s="2733"/>
      <c r="AE70" s="1115"/>
      <c r="AF70" s="759"/>
      <c r="AG70" s="759"/>
      <c r="AH70" s="760"/>
      <c r="AI70" s="763"/>
      <c r="AJ70" s="762"/>
      <c r="AK70" s="1115"/>
      <c r="AL70" s="759"/>
      <c r="AM70" s="759"/>
      <c r="AN70" s="760"/>
      <c r="AO70" s="763"/>
      <c r="AP70" s="762"/>
      <c r="AQ70" s="12" t="s">
        <v>473</v>
      </c>
    </row>
    <row r="71" spans="1:43" ht="34.5" customHeight="1">
      <c r="A71" s="1095" t="s">
        <v>501</v>
      </c>
      <c r="B71" s="3137" t="s">
        <v>377</v>
      </c>
      <c r="C71" s="3743"/>
      <c r="D71" s="1065" t="s">
        <v>3</v>
      </c>
      <c r="E71" s="47" t="s">
        <v>378</v>
      </c>
      <c r="F71" s="1118"/>
      <c r="G71" s="1119"/>
      <c r="H71" s="2360">
        <f>IFERROR('ED-XI DEN'!L19*100,"")</f>
        <v>0.43407043407043394</v>
      </c>
      <c r="I71" s="2355"/>
      <c r="J71" s="2356"/>
      <c r="K71" s="2357"/>
      <c r="L71" s="2358"/>
      <c r="M71" s="408">
        <f>R.HN!D49</f>
        <v>0</v>
      </c>
      <c r="N71" s="2362" t="s">
        <v>1081</v>
      </c>
      <c r="O71" s="2355"/>
      <c r="P71" s="2356"/>
      <c r="Q71" s="2357"/>
      <c r="R71" s="2361"/>
      <c r="S71" s="440"/>
      <c r="T71" s="2733" t="s">
        <v>46</v>
      </c>
      <c r="U71" s="2733"/>
      <c r="V71" s="2733"/>
      <c r="W71" s="2733"/>
      <c r="X71" s="2733"/>
      <c r="Y71" s="2733"/>
      <c r="Z71" s="2733" t="s">
        <v>46</v>
      </c>
      <c r="AA71" s="2733"/>
      <c r="AB71" s="2733"/>
      <c r="AC71" s="2733"/>
      <c r="AD71" s="2733"/>
      <c r="AE71" s="1115"/>
      <c r="AF71" s="759"/>
      <c r="AG71" s="759"/>
      <c r="AH71" s="760"/>
      <c r="AI71" s="763"/>
      <c r="AJ71" s="762"/>
      <c r="AK71" s="1115"/>
      <c r="AL71" s="759"/>
      <c r="AM71" s="759"/>
      <c r="AN71" s="760"/>
      <c r="AO71" s="763"/>
      <c r="AP71" s="762"/>
      <c r="AQ71" s="12" t="s">
        <v>473</v>
      </c>
    </row>
    <row r="72" spans="1:43" ht="34.5" customHeight="1">
      <c r="A72" s="1095" t="s">
        <v>502</v>
      </c>
      <c r="B72" s="3137" t="s">
        <v>380</v>
      </c>
      <c r="C72" s="3743"/>
      <c r="D72" s="1065" t="s">
        <v>3</v>
      </c>
      <c r="E72" s="47" t="s">
        <v>381</v>
      </c>
      <c r="F72" s="1118"/>
      <c r="G72" s="1119"/>
      <c r="H72" s="2360">
        <f>IFERROR('ED-XI DEN'!L20*100,"")</f>
        <v>0.26837996096291455</v>
      </c>
      <c r="I72" s="2355"/>
      <c r="J72" s="2356"/>
      <c r="K72" s="2357"/>
      <c r="L72" s="2358"/>
      <c r="M72" s="408">
        <f>R.HN!D50</f>
        <v>0.875</v>
      </c>
      <c r="N72" s="2362" t="s">
        <v>1081</v>
      </c>
      <c r="O72" s="2355"/>
      <c r="P72" s="2356"/>
      <c r="Q72" s="2357"/>
      <c r="R72" s="2361"/>
      <c r="S72" s="440"/>
      <c r="T72" s="2733" t="s">
        <v>46</v>
      </c>
      <c r="U72" s="2733"/>
      <c r="V72" s="2733"/>
      <c r="W72" s="2733"/>
      <c r="X72" s="2733"/>
      <c r="Y72" s="2733"/>
      <c r="Z72" s="2733" t="s">
        <v>46</v>
      </c>
      <c r="AA72" s="2733"/>
      <c r="AB72" s="2733"/>
      <c r="AC72" s="2733"/>
      <c r="AD72" s="2733"/>
      <c r="AE72" s="1115"/>
      <c r="AF72" s="759"/>
      <c r="AG72" s="759"/>
      <c r="AH72" s="760"/>
      <c r="AI72" s="763"/>
      <c r="AJ72" s="762"/>
      <c r="AK72" s="1115"/>
      <c r="AL72" s="759"/>
      <c r="AM72" s="759"/>
      <c r="AN72" s="760"/>
      <c r="AO72" s="763"/>
      <c r="AP72" s="762"/>
      <c r="AQ72" s="12" t="s">
        <v>473</v>
      </c>
    </row>
    <row r="73" spans="1:43" ht="48" customHeight="1">
      <c r="A73" s="1106" t="s">
        <v>72</v>
      </c>
      <c r="B73" s="302"/>
      <c r="C73" s="302"/>
      <c r="D73" s="302"/>
      <c r="E73" s="295"/>
      <c r="F73" s="302"/>
      <c r="G73" s="302"/>
      <c r="H73" s="302"/>
      <c r="I73" s="302"/>
      <c r="J73" s="302"/>
      <c r="K73" s="302"/>
      <c r="L73" s="302"/>
      <c r="M73" s="302"/>
      <c r="N73" s="307"/>
      <c r="O73" s="302"/>
      <c r="P73" s="302"/>
      <c r="Q73" s="302"/>
      <c r="R73" s="307"/>
      <c r="S73" s="302"/>
      <c r="T73" s="759"/>
      <c r="U73" s="759"/>
      <c r="V73" s="760"/>
      <c r="W73" s="763"/>
      <c r="X73" s="762"/>
      <c r="Y73" s="1115"/>
      <c r="Z73" s="759"/>
      <c r="AA73" s="759"/>
      <c r="AB73" s="760"/>
      <c r="AC73" s="763"/>
      <c r="AD73" s="762"/>
      <c r="AE73" s="1115"/>
      <c r="AF73" s="759"/>
      <c r="AG73" s="759"/>
      <c r="AH73" s="760"/>
      <c r="AI73" s="763"/>
      <c r="AJ73" s="762"/>
      <c r="AK73" s="1115"/>
      <c r="AL73" s="759"/>
      <c r="AM73" s="759"/>
      <c r="AN73" s="760"/>
      <c r="AO73" s="763"/>
      <c r="AP73" s="762"/>
    </row>
    <row r="74" spans="1:43" ht="33.75" customHeight="1">
      <c r="A74" s="1095" t="s">
        <v>236</v>
      </c>
      <c r="B74" s="3137" t="s">
        <v>60</v>
      </c>
      <c r="C74" s="3743"/>
      <c r="D74" s="276" t="s">
        <v>62</v>
      </c>
      <c r="E74" s="276" t="s">
        <v>63</v>
      </c>
      <c r="F74" s="414"/>
      <c r="G74" s="414"/>
      <c r="H74" s="2363" t="s">
        <v>45</v>
      </c>
      <c r="I74" s="2364"/>
      <c r="J74" s="2364"/>
      <c r="K74" s="2364" t="s">
        <v>61</v>
      </c>
      <c r="L74" s="2365"/>
      <c r="M74" s="276"/>
      <c r="N74" s="2363" t="s">
        <v>45</v>
      </c>
      <c r="O74" s="2364"/>
      <c r="P74" s="2364"/>
      <c r="Q74" s="2364" t="s">
        <v>61</v>
      </c>
      <c r="R74" s="2365"/>
      <c r="S74" s="1062"/>
      <c r="T74" s="2732" t="s">
        <v>45</v>
      </c>
      <c r="U74" s="2731"/>
      <c r="V74" s="2731"/>
      <c r="W74" s="2731" t="s">
        <v>61</v>
      </c>
      <c r="X74" s="2731"/>
      <c r="Y74" s="2731"/>
      <c r="Z74" s="2731" t="s">
        <v>45</v>
      </c>
      <c r="AA74" s="2731"/>
      <c r="AB74" s="2731"/>
      <c r="AC74" s="2731" t="s">
        <v>61</v>
      </c>
      <c r="AD74" s="2731"/>
      <c r="AE74" s="427"/>
      <c r="AF74" s="765"/>
      <c r="AG74" s="765"/>
      <c r="AH74" s="765"/>
      <c r="AI74" s="765"/>
      <c r="AJ74" s="1120"/>
      <c r="AK74" s="427"/>
      <c r="AL74" s="765"/>
      <c r="AM74" s="765"/>
      <c r="AN74" s="765"/>
      <c r="AO74" s="765"/>
      <c r="AP74" s="1120"/>
    </row>
    <row r="75" spans="1:43" ht="44.25" customHeight="1">
      <c r="A75" s="1095" t="s">
        <v>503</v>
      </c>
      <c r="B75" s="3137" t="s">
        <v>471</v>
      </c>
      <c r="C75" s="3743"/>
      <c r="D75" s="246" t="s">
        <v>194</v>
      </c>
      <c r="E75" s="47" t="s">
        <v>717</v>
      </c>
      <c r="F75" s="415"/>
      <c r="G75" s="415"/>
      <c r="H75" s="3808">
        <f>'R.FILE GOC'!H75</f>
        <v>62</v>
      </c>
      <c r="I75" s="3805"/>
      <c r="J75" s="3805"/>
      <c r="K75" s="3805">
        <f>'R.FILE GOC'!K75</f>
        <v>62</v>
      </c>
      <c r="L75" s="3806"/>
      <c r="M75" s="1121"/>
      <c r="N75" s="3808">
        <f>'R.FILE GOC'!N75</f>
        <v>0</v>
      </c>
      <c r="O75" s="3805"/>
      <c r="P75" s="3805"/>
      <c r="Q75" s="3805">
        <f>'R.FILE GOC'!Q75</f>
        <v>0</v>
      </c>
      <c r="R75" s="3807"/>
      <c r="S75" s="1061"/>
      <c r="T75" s="2732">
        <f>'R.FILE GOC'!T75</f>
        <v>0</v>
      </c>
      <c r="U75" s="2731"/>
      <c r="V75" s="2731"/>
      <c r="W75" s="2731">
        <f>'R.FILE GOC'!W75</f>
        <v>0</v>
      </c>
      <c r="X75" s="2731"/>
      <c r="Y75" s="2731"/>
      <c r="Z75" s="2731">
        <f>'R.FILE GOC'!Z75</f>
        <v>0</v>
      </c>
      <c r="AA75" s="2731"/>
      <c r="AB75" s="2731"/>
      <c r="AC75" s="2731">
        <f>'R.FILE GOC'!AC75</f>
        <v>0</v>
      </c>
      <c r="AD75" s="2731"/>
      <c r="AE75" s="1064"/>
      <c r="AF75" s="764"/>
      <c r="AG75" s="764"/>
      <c r="AH75" s="764"/>
      <c r="AI75" s="764"/>
      <c r="AJ75" s="1064"/>
      <c r="AK75" s="1064"/>
      <c r="AL75" s="764"/>
      <c r="AM75" s="764"/>
      <c r="AN75" s="764"/>
      <c r="AO75" s="764"/>
      <c r="AP75" s="1064"/>
      <c r="AQ75" s="12" t="s">
        <v>473</v>
      </c>
    </row>
    <row r="76" spans="1:43" ht="44.25" customHeight="1">
      <c r="A76" s="1095" t="s">
        <v>505</v>
      </c>
      <c r="B76" s="3137" t="s">
        <v>475</v>
      </c>
      <c r="C76" s="3743"/>
      <c r="D76" s="246" t="s">
        <v>194</v>
      </c>
      <c r="E76" s="47" t="s">
        <v>717</v>
      </c>
      <c r="F76" s="415"/>
      <c r="G76" s="415"/>
      <c r="H76" s="3808">
        <f>'R.FILE GOC'!H76</f>
        <v>63</v>
      </c>
      <c r="I76" s="3805"/>
      <c r="J76" s="3805"/>
      <c r="K76" s="3805">
        <f>'R.FILE GOC'!K76</f>
        <v>60</v>
      </c>
      <c r="L76" s="3806"/>
      <c r="M76" s="1121"/>
      <c r="N76" s="3808">
        <f>'R.FILE GOC'!N76</f>
        <v>0</v>
      </c>
      <c r="O76" s="3805"/>
      <c r="P76" s="3805"/>
      <c r="Q76" s="3805">
        <f>'R.FILE GOC'!Q76</f>
        <v>0</v>
      </c>
      <c r="R76" s="3807"/>
      <c r="S76" s="1061"/>
      <c r="T76" s="2732">
        <f>'R.FILE GOC'!T76</f>
        <v>0</v>
      </c>
      <c r="U76" s="2731"/>
      <c r="V76" s="2731"/>
      <c r="W76" s="2731">
        <f>'R.FILE GOC'!W76</f>
        <v>0</v>
      </c>
      <c r="X76" s="2731"/>
      <c r="Y76" s="2731"/>
      <c r="Z76" s="2731">
        <f>'R.FILE GOC'!Z76</f>
        <v>0</v>
      </c>
      <c r="AA76" s="2731"/>
      <c r="AB76" s="2731"/>
      <c r="AC76" s="2731">
        <f>'R.FILE GOC'!AC76</f>
        <v>0</v>
      </c>
      <c r="AD76" s="2731"/>
      <c r="AE76" s="1064"/>
      <c r="AF76" s="764"/>
      <c r="AG76" s="764"/>
      <c r="AH76" s="764"/>
      <c r="AI76" s="764"/>
      <c r="AJ76" s="1064"/>
      <c r="AK76" s="1064"/>
      <c r="AL76" s="764"/>
      <c r="AM76" s="764"/>
      <c r="AN76" s="764"/>
      <c r="AO76" s="764"/>
      <c r="AP76" s="1064"/>
      <c r="AQ76" s="12" t="s">
        <v>473</v>
      </c>
    </row>
    <row r="77" spans="1:43" ht="44.25" customHeight="1">
      <c r="A77" s="1095" t="s">
        <v>506</v>
      </c>
      <c r="B77" s="3137" t="s">
        <v>571</v>
      </c>
      <c r="C77" s="3743"/>
      <c r="D77" s="246" t="s">
        <v>194</v>
      </c>
      <c r="E77" s="47" t="s">
        <v>717</v>
      </c>
      <c r="F77" s="424"/>
      <c r="G77" s="424"/>
      <c r="H77" s="3808">
        <f>'R.FILE GOC'!H77</f>
        <v>58</v>
      </c>
      <c r="I77" s="3805"/>
      <c r="J77" s="3805"/>
      <c r="K77" s="3805">
        <f>'R.FILE GOC'!K77</f>
        <v>59</v>
      </c>
      <c r="L77" s="3806"/>
      <c r="M77" s="1121"/>
      <c r="N77" s="3808">
        <f>'R.FILE GOC'!N77</f>
        <v>0</v>
      </c>
      <c r="O77" s="3805"/>
      <c r="P77" s="3805"/>
      <c r="Q77" s="3805">
        <f>'R.FILE GOC'!Q77</f>
        <v>0</v>
      </c>
      <c r="R77" s="3807"/>
      <c r="S77" s="1061"/>
      <c r="T77" s="2732">
        <f>'R.FILE GOC'!T77</f>
        <v>0</v>
      </c>
      <c r="U77" s="2731"/>
      <c r="V77" s="2731"/>
      <c r="W77" s="2731">
        <f>'R.FILE GOC'!W77</f>
        <v>0</v>
      </c>
      <c r="X77" s="2731"/>
      <c r="Y77" s="2731"/>
      <c r="Z77" s="2731">
        <f>'R.FILE GOC'!Z77</f>
        <v>0</v>
      </c>
      <c r="AA77" s="2731"/>
      <c r="AB77" s="2731"/>
      <c r="AC77" s="2731">
        <f>'R.FILE GOC'!AC77</f>
        <v>0</v>
      </c>
      <c r="AD77" s="2731"/>
      <c r="AE77" s="1064"/>
      <c r="AF77" s="764"/>
      <c r="AG77" s="764"/>
      <c r="AH77" s="764"/>
      <c r="AI77" s="764"/>
      <c r="AJ77" s="1064"/>
      <c r="AK77" s="1064"/>
      <c r="AL77" s="764"/>
      <c r="AM77" s="764"/>
      <c r="AN77" s="764"/>
      <c r="AO77" s="764"/>
      <c r="AP77" s="1064"/>
      <c r="AQ77" s="12" t="s">
        <v>473</v>
      </c>
    </row>
    <row r="78" spans="1:43" ht="44.25" customHeight="1">
      <c r="A78" s="1095" t="s">
        <v>507</v>
      </c>
      <c r="B78" s="3137" t="s">
        <v>508</v>
      </c>
      <c r="C78" s="3743"/>
      <c r="D78" s="246" t="s">
        <v>194</v>
      </c>
      <c r="E78" s="47" t="s">
        <v>718</v>
      </c>
      <c r="F78" s="424"/>
      <c r="G78" s="424"/>
      <c r="H78" s="3808">
        <f>'R.FILE GOC'!H78</f>
        <v>40</v>
      </c>
      <c r="I78" s="3805"/>
      <c r="J78" s="3805"/>
      <c r="K78" s="3805">
        <f>'R.FILE GOC'!K78</f>
        <v>34</v>
      </c>
      <c r="L78" s="3806"/>
      <c r="M78" s="1121"/>
      <c r="N78" s="3808">
        <f>'R.FILE GOC'!N78</f>
        <v>0</v>
      </c>
      <c r="O78" s="3805"/>
      <c r="P78" s="3805"/>
      <c r="Q78" s="3805">
        <f>'R.FILE GOC'!Q78</f>
        <v>0</v>
      </c>
      <c r="R78" s="3807"/>
      <c r="S78" s="1064"/>
      <c r="T78" s="2732">
        <f>'R.FILE GOC'!T78</f>
        <v>0</v>
      </c>
      <c r="U78" s="2731"/>
      <c r="V78" s="2731"/>
      <c r="W78" s="2731">
        <f>'R.FILE GOC'!W78</f>
        <v>0</v>
      </c>
      <c r="X78" s="2731"/>
      <c r="Y78" s="2731"/>
      <c r="Z78" s="2731">
        <f>'R.FILE GOC'!Z78</f>
        <v>0</v>
      </c>
      <c r="AA78" s="2731"/>
      <c r="AB78" s="2731"/>
      <c r="AC78" s="2731">
        <f>'R.FILE GOC'!AC78</f>
        <v>0</v>
      </c>
      <c r="AD78" s="2731"/>
      <c r="AE78" s="1064"/>
      <c r="AF78" s="764"/>
      <c r="AG78" s="764"/>
      <c r="AH78" s="764"/>
      <c r="AI78" s="764"/>
      <c r="AJ78" s="1064"/>
      <c r="AK78" s="1064"/>
      <c r="AL78" s="764"/>
      <c r="AM78" s="764"/>
      <c r="AN78" s="764"/>
      <c r="AO78" s="764"/>
      <c r="AP78" s="1064"/>
      <c r="AQ78" s="12" t="s">
        <v>473</v>
      </c>
    </row>
    <row r="79" spans="1:43" ht="44.25" customHeight="1">
      <c r="A79" s="1095" t="s">
        <v>510</v>
      </c>
      <c r="B79" s="3137" t="s">
        <v>511</v>
      </c>
      <c r="C79" s="3743"/>
      <c r="D79" s="246" t="s">
        <v>194</v>
      </c>
      <c r="E79" s="47" t="s">
        <v>719</v>
      </c>
      <c r="F79" s="47" t="s">
        <v>719</v>
      </c>
      <c r="G79" s="424"/>
      <c r="H79" s="3808">
        <f>'R.FILE GOC'!H79</f>
        <v>31</v>
      </c>
      <c r="I79" s="3805"/>
      <c r="J79" s="3805"/>
      <c r="K79" s="3805">
        <f>'R.FILE GOC'!K79</f>
        <v>31</v>
      </c>
      <c r="L79" s="3806"/>
      <c r="M79" s="1121"/>
      <c r="N79" s="3808">
        <f>'R.FILE GOC'!N79</f>
        <v>0</v>
      </c>
      <c r="O79" s="3805"/>
      <c r="P79" s="3805"/>
      <c r="Q79" s="3805">
        <f>'R.FILE GOC'!Q79</f>
        <v>0</v>
      </c>
      <c r="R79" s="3807"/>
      <c r="S79" s="1064"/>
      <c r="T79" s="2732">
        <f>'R.FILE GOC'!T79</f>
        <v>0</v>
      </c>
      <c r="U79" s="2731"/>
      <c r="V79" s="2731"/>
      <c r="W79" s="2731">
        <f>'R.FILE GOC'!W79</f>
        <v>0</v>
      </c>
      <c r="X79" s="2731"/>
      <c r="Y79" s="2731"/>
      <c r="Z79" s="2731">
        <f>'R.FILE GOC'!Z79</f>
        <v>0</v>
      </c>
      <c r="AA79" s="2731"/>
      <c r="AB79" s="2731"/>
      <c r="AC79" s="2731">
        <f>'R.FILE GOC'!AC79</f>
        <v>0</v>
      </c>
      <c r="AD79" s="2731"/>
      <c r="AE79" s="1064"/>
      <c r="AF79" s="764"/>
      <c r="AG79" s="764"/>
      <c r="AH79" s="764"/>
      <c r="AI79" s="764"/>
      <c r="AJ79" s="1064"/>
      <c r="AK79" s="1064"/>
      <c r="AL79" s="764"/>
      <c r="AM79" s="764"/>
      <c r="AN79" s="764"/>
      <c r="AO79" s="764"/>
      <c r="AP79" s="1064"/>
      <c r="AQ79" s="12" t="s">
        <v>473</v>
      </c>
    </row>
    <row r="80" spans="1:43" ht="44.25" customHeight="1">
      <c r="A80" s="1095" t="s">
        <v>513</v>
      </c>
      <c r="B80" s="3137" t="s">
        <v>514</v>
      </c>
      <c r="C80" s="3743"/>
      <c r="D80" s="246" t="s">
        <v>194</v>
      </c>
      <c r="E80" s="47" t="s">
        <v>719</v>
      </c>
      <c r="F80" s="427"/>
      <c r="G80" s="424"/>
      <c r="H80" s="3808">
        <f>'R.FILE GOC'!H80</f>
        <v>0</v>
      </c>
      <c r="I80" s="3805"/>
      <c r="J80" s="3805"/>
      <c r="K80" s="3805">
        <f>'R.FILE GOC'!K80</f>
        <v>0</v>
      </c>
      <c r="L80" s="3806"/>
      <c r="M80" s="1121"/>
      <c r="N80" s="3808">
        <f>'R.FILE GOC'!N80</f>
        <v>0</v>
      </c>
      <c r="O80" s="3805"/>
      <c r="P80" s="3805"/>
      <c r="Q80" s="3805">
        <f>'R.FILE GOC'!Q80</f>
        <v>0</v>
      </c>
      <c r="R80" s="3807"/>
      <c r="S80" s="1064"/>
      <c r="T80" s="2732">
        <f>'R.FILE GOC'!T80</f>
        <v>0</v>
      </c>
      <c r="U80" s="2731"/>
      <c r="V80" s="2731"/>
      <c r="W80" s="2731">
        <f>'R.FILE GOC'!W80</f>
        <v>0</v>
      </c>
      <c r="X80" s="2731"/>
      <c r="Y80" s="2731"/>
      <c r="Z80" s="2731">
        <f>'R.FILE GOC'!Z80</f>
        <v>0</v>
      </c>
      <c r="AA80" s="2731"/>
      <c r="AB80" s="2731"/>
      <c r="AC80" s="2731">
        <f>'R.FILE GOC'!AC80</f>
        <v>0</v>
      </c>
      <c r="AD80" s="2731"/>
      <c r="AE80" s="1064"/>
      <c r="AF80" s="764"/>
      <c r="AG80" s="764"/>
      <c r="AH80" s="764"/>
      <c r="AI80" s="764"/>
      <c r="AJ80" s="1064"/>
      <c r="AK80" s="1064"/>
      <c r="AL80" s="764"/>
      <c r="AM80" s="764"/>
      <c r="AN80" s="764"/>
      <c r="AO80" s="764"/>
      <c r="AP80" s="1064"/>
      <c r="AQ80" s="12" t="s">
        <v>473</v>
      </c>
    </row>
    <row r="81" spans="1:43" ht="44.25" customHeight="1">
      <c r="A81" s="1095" t="s">
        <v>515</v>
      </c>
      <c r="B81" s="3137" t="s">
        <v>516</v>
      </c>
      <c r="C81" s="3743"/>
      <c r="D81" s="246" t="s">
        <v>194</v>
      </c>
      <c r="E81" s="47" t="s">
        <v>720</v>
      </c>
      <c r="F81" s="424"/>
      <c r="G81" s="424"/>
      <c r="H81" s="3803"/>
      <c r="I81" s="3804"/>
      <c r="J81" s="3804"/>
      <c r="K81" s="3805">
        <f>'R.FILE GOC'!K81</f>
        <v>35</v>
      </c>
      <c r="L81" s="3806"/>
      <c r="M81" s="1122"/>
      <c r="N81" s="3803"/>
      <c r="O81" s="3804"/>
      <c r="P81" s="3804"/>
      <c r="Q81" s="3805">
        <f>'R.FILE GOC'!Q81</f>
        <v>0</v>
      </c>
      <c r="R81" s="3807"/>
      <c r="S81" s="1064"/>
      <c r="T81" s="2732"/>
      <c r="U81" s="2731"/>
      <c r="V81" s="2731"/>
      <c r="W81" s="2731">
        <f>'R.FILE GOC'!W81</f>
        <v>0</v>
      </c>
      <c r="X81" s="2731"/>
      <c r="Y81" s="2731"/>
      <c r="Z81" s="2731"/>
      <c r="AA81" s="2731"/>
      <c r="AB81" s="2731"/>
      <c r="AC81" s="2731">
        <f>'R.FILE GOC'!AC81</f>
        <v>0</v>
      </c>
      <c r="AD81" s="2731"/>
      <c r="AE81" s="1064"/>
      <c r="AF81" s="764"/>
      <c r="AG81" s="764"/>
      <c r="AH81" s="764"/>
      <c r="AI81" s="764"/>
      <c r="AJ81" s="1064"/>
      <c r="AK81" s="1064"/>
      <c r="AL81" s="764"/>
      <c r="AM81" s="764"/>
      <c r="AN81" s="764"/>
      <c r="AO81" s="764"/>
      <c r="AP81" s="1064"/>
      <c r="AQ81" s="12" t="s">
        <v>473</v>
      </c>
    </row>
    <row r="82" spans="1:43" s="244" customFormat="1" ht="47.25" customHeight="1">
      <c r="A82" s="1123"/>
      <c r="B82" s="431"/>
      <c r="C82" s="432"/>
      <c r="D82" s="432"/>
      <c r="E82" s="432"/>
      <c r="F82" s="432"/>
      <c r="G82" s="432"/>
      <c r="H82" s="433" t="s">
        <v>518</v>
      </c>
      <c r="I82" s="432"/>
      <c r="J82" s="432"/>
      <c r="K82" s="432"/>
      <c r="L82" s="432"/>
      <c r="M82" s="432"/>
      <c r="N82" s="432"/>
      <c r="O82" s="432"/>
      <c r="P82" s="432"/>
      <c r="Q82" s="432"/>
      <c r="R82" s="432"/>
      <c r="S82" s="432"/>
      <c r="T82" s="434"/>
      <c r="U82" s="434"/>
      <c r="V82" s="434"/>
      <c r="W82" s="434"/>
      <c r="X82" s="434"/>
      <c r="Y82" s="434"/>
      <c r="Z82" s="434"/>
      <c r="AA82" s="434"/>
      <c r="AB82" s="434"/>
      <c r="AC82" s="434"/>
      <c r="AD82" s="434"/>
      <c r="AE82" s="434"/>
      <c r="AF82" s="434"/>
      <c r="AG82" s="434"/>
      <c r="AH82" s="434"/>
      <c r="AI82" s="434"/>
      <c r="AJ82" s="434"/>
      <c r="AK82" s="434"/>
      <c r="AL82" s="434"/>
      <c r="AM82" s="434"/>
      <c r="AN82" s="434"/>
      <c r="AO82" s="434"/>
      <c r="AP82" s="434"/>
      <c r="AQ82" s="12" t="s">
        <v>473</v>
      </c>
    </row>
    <row r="83" spans="1:43" s="244" customFormat="1" ht="47.25" customHeight="1">
      <c r="A83" s="1124"/>
      <c r="B83" s="3137" t="s">
        <v>518</v>
      </c>
      <c r="C83" s="3743"/>
      <c r="D83" s="1065" t="s">
        <v>519</v>
      </c>
      <c r="E83" s="47" t="s">
        <v>520</v>
      </c>
      <c r="F83" s="415"/>
      <c r="G83" s="415" t="s">
        <v>519</v>
      </c>
      <c r="H83" s="3193">
        <f>'R.FILE GOC'!H83:L83</f>
        <v>986</v>
      </c>
      <c r="I83" s="3194"/>
      <c r="J83" s="3194"/>
      <c r="K83" s="3194"/>
      <c r="L83" s="3194"/>
      <c r="M83" s="1060"/>
      <c r="N83" s="3183">
        <f>'R.FILE GOC'!N83:R83</f>
        <v>0</v>
      </c>
      <c r="O83" s="3183"/>
      <c r="P83" s="3183"/>
      <c r="Q83" s="3183"/>
      <c r="R83" s="3183"/>
      <c r="S83" s="98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12" t="s">
        <v>473</v>
      </c>
    </row>
    <row r="84" spans="1:43" s="244" customFormat="1" ht="47.25" hidden="1" customHeight="1">
      <c r="A84" s="1124"/>
      <c r="B84" s="3137" t="s">
        <v>521</v>
      </c>
      <c r="C84" s="3743"/>
      <c r="D84" s="1065" t="s">
        <v>519</v>
      </c>
      <c r="E84" s="47" t="s">
        <v>522</v>
      </c>
      <c r="F84" s="415"/>
      <c r="G84" s="415" t="s">
        <v>519</v>
      </c>
      <c r="H84" s="3193">
        <f>'R.FILE GOC'!H84:L84</f>
        <v>0</v>
      </c>
      <c r="I84" s="3194"/>
      <c r="J84" s="3194"/>
      <c r="K84" s="3194"/>
      <c r="L84" s="3194"/>
      <c r="M84" s="1060"/>
      <c r="N84" s="3193">
        <f>'R.FILE GOC'!N84:R84</f>
        <v>0</v>
      </c>
      <c r="O84" s="3194"/>
      <c r="P84" s="3194"/>
      <c r="Q84" s="3194"/>
      <c r="R84" s="3194"/>
      <c r="S84" s="98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12" t="s">
        <v>473</v>
      </c>
    </row>
    <row r="85" spans="1:43" s="244" customFormat="1" ht="28.5" customHeight="1">
      <c r="A85" s="1356"/>
      <c r="B85" s="1062"/>
      <c r="C85" s="1062"/>
      <c r="D85" s="1095"/>
      <c r="E85" s="1062"/>
      <c r="F85" s="415"/>
      <c r="G85" s="415"/>
      <c r="H85" s="1061"/>
      <c r="I85" s="1061"/>
      <c r="J85" s="1061"/>
      <c r="K85" s="1061"/>
      <c r="L85" s="1061"/>
      <c r="M85" s="1061"/>
      <c r="N85" s="1061"/>
      <c r="O85" s="1061"/>
      <c r="P85" s="1061"/>
      <c r="Q85" s="1061"/>
      <c r="R85" s="1061"/>
      <c r="S85" s="985"/>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12"/>
    </row>
    <row r="86" spans="1:43" ht="40.5" customHeight="1">
      <c r="A86" s="1968" t="s">
        <v>523</v>
      </c>
      <c r="B86" s="1975"/>
      <c r="C86" s="1976"/>
      <c r="D86" s="1977"/>
      <c r="E86" s="1978"/>
      <c r="F86" s="1979"/>
      <c r="G86" s="1980"/>
      <c r="H86" s="1981" t="s">
        <v>71</v>
      </c>
      <c r="I86" s="1982"/>
      <c r="J86" s="1982"/>
      <c r="K86" s="1982"/>
      <c r="L86" s="1982"/>
      <c r="M86" s="1982"/>
      <c r="N86" s="1982"/>
      <c r="O86" s="1982"/>
      <c r="P86" s="1982"/>
      <c r="Q86" s="1982"/>
      <c r="R86" s="1983"/>
      <c r="S86" s="1113"/>
      <c r="AD86" s="12"/>
      <c r="AP86" s="12"/>
    </row>
    <row r="87" spans="1:43" ht="27.75" customHeight="1">
      <c r="A87" s="399"/>
      <c r="B87" s="3818" t="s">
        <v>75</v>
      </c>
      <c r="C87" s="3819"/>
      <c r="D87" s="3119" t="s">
        <v>123</v>
      </c>
      <c r="E87" s="3810" t="s">
        <v>63</v>
      </c>
      <c r="F87" s="400"/>
      <c r="G87" s="402"/>
      <c r="H87" s="3825">
        <v>0.375</v>
      </c>
      <c r="I87" s="3826"/>
      <c r="J87" s="3826"/>
      <c r="K87" s="3826"/>
      <c r="L87" s="3826"/>
      <c r="M87" s="402"/>
      <c r="N87" s="3560">
        <v>0.875</v>
      </c>
      <c r="O87" s="3567"/>
      <c r="P87" s="3567"/>
      <c r="Q87" s="3567"/>
      <c r="R87" s="3567"/>
      <c r="S87" s="1114"/>
      <c r="T87" s="306"/>
      <c r="AD87" s="12"/>
      <c r="AE87" s="1114"/>
      <c r="AF87" s="306"/>
      <c r="AP87" s="12"/>
    </row>
    <row r="88" spans="1:43" ht="50.25" customHeight="1">
      <c r="A88" s="436" t="s">
        <v>236</v>
      </c>
      <c r="B88" s="3820"/>
      <c r="C88" s="3821"/>
      <c r="D88" s="3809"/>
      <c r="E88" s="3811"/>
      <c r="F88" s="404" t="s">
        <v>420</v>
      </c>
      <c r="G88" s="405"/>
      <c r="H88" s="46" t="s">
        <v>728</v>
      </c>
      <c r="I88" s="1125" t="s">
        <v>1</v>
      </c>
      <c r="J88" s="3814" t="s">
        <v>1</v>
      </c>
      <c r="K88" s="3814"/>
      <c r="L88" s="3814"/>
      <c r="M88" s="46"/>
      <c r="N88" s="1036" t="s">
        <v>728</v>
      </c>
      <c r="O88" s="1325" t="s">
        <v>1</v>
      </c>
      <c r="P88" s="3118" t="s">
        <v>1</v>
      </c>
      <c r="Q88" s="3118"/>
      <c r="R88" s="3118"/>
      <c r="S88" s="1126"/>
      <c r="T88" s="306"/>
      <c r="AD88" s="12"/>
      <c r="AE88" s="1126"/>
      <c r="AF88" s="306"/>
      <c r="AP88" s="12"/>
    </row>
    <row r="89" spans="1:43" ht="34.5" customHeight="1">
      <c r="A89" s="1095" t="s">
        <v>524</v>
      </c>
      <c r="B89" s="3137" t="s">
        <v>525</v>
      </c>
      <c r="C89" s="3743"/>
      <c r="D89" s="1065" t="s">
        <v>4</v>
      </c>
      <c r="E89" s="1059" t="s">
        <v>526</v>
      </c>
      <c r="F89" s="439">
        <v>25</v>
      </c>
      <c r="G89" s="409">
        <f>R.HN!C51</f>
        <v>1.64</v>
      </c>
      <c r="H89" s="1468">
        <f>G89*15.8</f>
        <v>25.911999999999999</v>
      </c>
      <c r="I89" s="1468">
        <f>($F$89-H89)*1632/1000</f>
        <v>-1.4883839999999984</v>
      </c>
      <c r="J89" s="1468" t="s">
        <v>8</v>
      </c>
      <c r="K89" s="1459">
        <f>IF(H89=0,0,IF(I89&lt;0,0,I89))</f>
        <v>0</v>
      </c>
      <c r="L89" s="1468" t="s">
        <v>9</v>
      </c>
      <c r="M89" s="1472">
        <f>R.HN!D51</f>
        <v>1.86</v>
      </c>
      <c r="N89" s="1476">
        <f>M89*15.8</f>
        <v>29.388000000000002</v>
      </c>
      <c r="O89" s="1476">
        <f>($F$89-N89)*1632/1000</f>
        <v>-7.1612160000000031</v>
      </c>
      <c r="P89" s="1476" t="s">
        <v>8</v>
      </c>
      <c r="Q89" s="1459">
        <f>IF(N89=0,0,IF(O89&lt;0,0,O89))</f>
        <v>0</v>
      </c>
      <c r="R89" s="38" t="s">
        <v>9</v>
      </c>
      <c r="S89" s="1127"/>
      <c r="T89" s="306"/>
      <c r="AD89" s="12"/>
      <c r="AE89" s="1127"/>
      <c r="AF89" s="306"/>
      <c r="AP89" s="12"/>
      <c r="AQ89" s="12" t="s">
        <v>527</v>
      </c>
    </row>
    <row r="90" spans="1:43" ht="34.5" customHeight="1">
      <c r="A90" s="1095" t="s">
        <v>528</v>
      </c>
      <c r="B90" s="3137" t="s">
        <v>529</v>
      </c>
      <c r="C90" s="3743"/>
      <c r="D90" s="1065" t="s">
        <v>4</v>
      </c>
      <c r="E90" s="1059" t="s">
        <v>526</v>
      </c>
      <c r="F90" s="439">
        <v>25</v>
      </c>
      <c r="G90" s="409">
        <f>R.HN!C52</f>
        <v>1.44</v>
      </c>
      <c r="H90" s="1468">
        <f>G90*15.8</f>
        <v>22.751999999999999</v>
      </c>
      <c r="I90" s="1468">
        <f>($F$90-H90)*1632/1000</f>
        <v>3.6687360000000018</v>
      </c>
      <c r="J90" s="1468" t="s">
        <v>8</v>
      </c>
      <c r="K90" s="1459">
        <f>IF(H90=0,0,IF(I90&lt;0,0,I90))</f>
        <v>3.6687360000000018</v>
      </c>
      <c r="L90" s="1468" t="s">
        <v>9</v>
      </c>
      <c r="M90" s="1472">
        <f>R.HN!D52</f>
        <v>1.56</v>
      </c>
      <c r="N90" s="1476">
        <f>M90*15.8</f>
        <v>24.648000000000003</v>
      </c>
      <c r="O90" s="1476">
        <f>($F$90-N90)*1632/1000</f>
        <v>0.57446399999999476</v>
      </c>
      <c r="P90" s="1476" t="s">
        <v>8</v>
      </c>
      <c r="Q90" s="1459">
        <f>IF(N90=0,0,IF(O90&lt;0,0,O90))</f>
        <v>0.57446399999999476</v>
      </c>
      <c r="R90" s="38" t="s">
        <v>9</v>
      </c>
      <c r="S90" s="1127"/>
      <c r="T90" s="306"/>
      <c r="AD90" s="12"/>
      <c r="AE90" s="1127"/>
      <c r="AF90" s="306"/>
      <c r="AP90" s="12"/>
      <c r="AQ90" s="12" t="s">
        <v>527</v>
      </c>
    </row>
    <row r="91" spans="1:43" ht="34.5" customHeight="1">
      <c r="A91" s="1095" t="s">
        <v>530</v>
      </c>
      <c r="B91" s="3137" t="s">
        <v>531</v>
      </c>
      <c r="C91" s="3743"/>
      <c r="D91" s="1065" t="s">
        <v>54</v>
      </c>
      <c r="E91" s="1543" t="s">
        <v>1394</v>
      </c>
      <c r="F91" s="439">
        <v>250</v>
      </c>
      <c r="G91" s="409">
        <f>R.HN!C53</f>
        <v>3.7</v>
      </c>
      <c r="H91" s="1468">
        <f>G91*65.2</f>
        <v>241.24</v>
      </c>
      <c r="I91" s="1468">
        <f>($F$91-H91)*1632/1000</f>
        <v>14.296319999999985</v>
      </c>
      <c r="J91" s="1468" t="s">
        <v>8</v>
      </c>
      <c r="K91" s="1459">
        <f>IF(H91=0,0,IF(I91&lt;0,0,I91))</f>
        <v>14.296319999999985</v>
      </c>
      <c r="L91" s="1468" t="s">
        <v>1082</v>
      </c>
      <c r="M91" s="1472">
        <f>R.HN!D53</f>
        <v>3.65</v>
      </c>
      <c r="N91" s="1476">
        <f>M91*65.2</f>
        <v>237.98000000000002</v>
      </c>
      <c r="O91" s="1476">
        <f>($F$91-N91)*1632/1000</f>
        <v>19.616639999999972</v>
      </c>
      <c r="P91" s="1476" t="s">
        <v>8</v>
      </c>
      <c r="Q91" s="1459">
        <f>IF(N91=0,0,IF(O91&lt;0,0,O91))</f>
        <v>19.616639999999972</v>
      </c>
      <c r="R91" s="38" t="s">
        <v>1257</v>
      </c>
      <c r="S91" s="1127"/>
      <c r="T91" s="306"/>
      <c r="AD91" s="12"/>
      <c r="AE91" s="1127"/>
      <c r="AF91" s="306"/>
      <c r="AP91" s="12"/>
      <c r="AQ91" s="12" t="s">
        <v>527</v>
      </c>
    </row>
    <row r="92" spans="1:43" ht="34.5" customHeight="1">
      <c r="A92" s="1095" t="s">
        <v>533</v>
      </c>
      <c r="B92" s="3827" t="s">
        <v>1083</v>
      </c>
      <c r="C92" s="3828"/>
      <c r="D92" s="1065" t="s">
        <v>4</v>
      </c>
      <c r="E92" s="1543" t="s">
        <v>1395</v>
      </c>
      <c r="F92" s="439">
        <v>130</v>
      </c>
      <c r="G92" s="409">
        <f>R.HN!C54</f>
        <v>9.9</v>
      </c>
      <c r="H92" s="1468">
        <f>G92*12.5</f>
        <v>123.75</v>
      </c>
      <c r="I92" s="1468">
        <f>($F$92-H92)*1728/1000</f>
        <v>10.8</v>
      </c>
      <c r="J92" s="1468" t="s">
        <v>8</v>
      </c>
      <c r="K92" s="1459">
        <f>IF(H92=0,0,IF(I92&lt;0,0,I92))</f>
        <v>10.8</v>
      </c>
      <c r="L92" s="1468" t="s">
        <v>9</v>
      </c>
      <c r="M92" s="1472">
        <f>R.HN!D54</f>
        <v>9.8000000000000007</v>
      </c>
      <c r="N92" s="1476">
        <f>M92*12.5</f>
        <v>122.50000000000001</v>
      </c>
      <c r="O92" s="1476">
        <f>($F$92-N92)*1728/1000</f>
        <v>12.959999999999974</v>
      </c>
      <c r="P92" s="1476" t="s">
        <v>8</v>
      </c>
      <c r="Q92" s="1459">
        <f>IF(N92=0,0,IF(O92&lt;0,0,O92))</f>
        <v>12.959999999999974</v>
      </c>
      <c r="R92" s="38" t="s">
        <v>9</v>
      </c>
      <c r="S92" s="1127"/>
      <c r="T92" s="306"/>
      <c r="AD92" s="12"/>
      <c r="AE92" s="1127"/>
      <c r="AF92" s="306"/>
      <c r="AP92" s="12"/>
      <c r="AQ92" s="12" t="s">
        <v>527</v>
      </c>
    </row>
    <row r="93" spans="1:43" ht="34.5" customHeight="1">
      <c r="A93" s="1095" t="s">
        <v>535</v>
      </c>
      <c r="B93" s="3827" t="s">
        <v>1084</v>
      </c>
      <c r="C93" s="3828"/>
      <c r="D93" s="1065" t="s">
        <v>4</v>
      </c>
      <c r="E93" s="1543" t="s">
        <v>536</v>
      </c>
      <c r="F93" s="442"/>
      <c r="G93" s="409">
        <f>R.HN!C55</f>
        <v>8.1999999999999993</v>
      </c>
      <c r="H93" s="1468">
        <f>(G92-G93)*1.25</f>
        <v>2.1250000000000013</v>
      </c>
      <c r="I93" s="1468" t="s">
        <v>432</v>
      </c>
      <c r="J93" s="1468" t="s">
        <v>8</v>
      </c>
      <c r="K93" s="1474"/>
      <c r="L93" s="1468" t="s">
        <v>9</v>
      </c>
      <c r="M93" s="1472">
        <f>R.HN!D55</f>
        <v>8</v>
      </c>
      <c r="N93" s="1476">
        <f>(M92-M93)*1.25</f>
        <v>2.2500000000000009</v>
      </c>
      <c r="O93" s="1476" t="s">
        <v>432</v>
      </c>
      <c r="P93" s="1476" t="s">
        <v>8</v>
      </c>
      <c r="Q93" s="1474"/>
      <c r="R93" s="38" t="s">
        <v>9</v>
      </c>
      <c r="S93" s="1127"/>
      <c r="T93" s="306"/>
      <c r="AD93" s="12"/>
      <c r="AE93" s="1127"/>
      <c r="AF93" s="306"/>
      <c r="AP93" s="12"/>
      <c r="AQ93" s="12" t="s">
        <v>527</v>
      </c>
    </row>
    <row r="94" spans="1:43" ht="34.5" customHeight="1">
      <c r="A94" s="1095" t="s">
        <v>537</v>
      </c>
      <c r="B94" s="3827" t="s">
        <v>1085</v>
      </c>
      <c r="C94" s="3828"/>
      <c r="D94" s="1065" t="s">
        <v>4</v>
      </c>
      <c r="E94" s="1543" t="s">
        <v>1395</v>
      </c>
      <c r="F94" s="442">
        <v>130</v>
      </c>
      <c r="G94" s="409">
        <f>R.HN!C56</f>
        <v>9.8000000000000007</v>
      </c>
      <c r="H94" s="1468">
        <f>G94*12.5</f>
        <v>122.50000000000001</v>
      </c>
      <c r="I94" s="1468">
        <f>($F$94-H94)*1728/1000</f>
        <v>12.959999999999974</v>
      </c>
      <c r="J94" s="1468" t="s">
        <v>8</v>
      </c>
      <c r="K94" s="1459">
        <f>IF(H94=0,0,IF(I94&lt;0,0,I94))</f>
        <v>12.959999999999974</v>
      </c>
      <c r="L94" s="1468" t="s">
        <v>9</v>
      </c>
      <c r="M94" s="1472">
        <f>R.HN!D56</f>
        <v>9.9</v>
      </c>
      <c r="N94" s="1476">
        <f>M94*12.5</f>
        <v>123.75</v>
      </c>
      <c r="O94" s="1476">
        <f>($F$94-N94)*1728/1000</f>
        <v>10.8</v>
      </c>
      <c r="P94" s="1476" t="s">
        <v>8</v>
      </c>
      <c r="Q94" s="1459">
        <f>IF(N94=0,0,IF(O94&lt;0,0,O94))</f>
        <v>10.8</v>
      </c>
      <c r="R94" s="38" t="s">
        <v>9</v>
      </c>
      <c r="S94" s="1127"/>
      <c r="T94" s="306"/>
      <c r="AD94" s="12"/>
      <c r="AE94" s="1127"/>
      <c r="AF94" s="306"/>
      <c r="AP94" s="12"/>
      <c r="AQ94" s="12" t="s">
        <v>527</v>
      </c>
    </row>
    <row r="95" spans="1:43" ht="34.5" customHeight="1">
      <c r="A95" s="1095" t="s">
        <v>538</v>
      </c>
      <c r="B95" s="3827" t="s">
        <v>1086</v>
      </c>
      <c r="C95" s="3828"/>
      <c r="D95" s="1065" t="s">
        <v>4</v>
      </c>
      <c r="E95" s="1059" t="s">
        <v>536</v>
      </c>
      <c r="F95" s="442"/>
      <c r="G95" s="409">
        <f>R.HN!C57</f>
        <v>8.1</v>
      </c>
      <c r="H95" s="1468">
        <f>(G94-G95)*1.25</f>
        <v>2.1250000000000013</v>
      </c>
      <c r="I95" s="1468" t="s">
        <v>432</v>
      </c>
      <c r="J95" s="1468" t="s">
        <v>8</v>
      </c>
      <c r="K95" s="1474"/>
      <c r="L95" s="1468" t="s">
        <v>9</v>
      </c>
      <c r="M95" s="1472">
        <f>R.HN!D57</f>
        <v>7.8</v>
      </c>
      <c r="N95" s="1476">
        <f>(M94-M95)*1.25</f>
        <v>2.6250000000000009</v>
      </c>
      <c r="O95" s="1476" t="s">
        <v>432</v>
      </c>
      <c r="P95" s="1476" t="s">
        <v>8</v>
      </c>
      <c r="Q95" s="1474"/>
      <c r="R95" s="38" t="s">
        <v>9</v>
      </c>
      <c r="S95" s="1127"/>
      <c r="T95" s="306"/>
      <c r="AD95" s="12"/>
      <c r="AE95" s="1127"/>
      <c r="AF95" s="306"/>
      <c r="AP95" s="12"/>
      <c r="AQ95" s="12" t="s">
        <v>527</v>
      </c>
    </row>
    <row r="96" spans="1:43" ht="34.5" customHeight="1">
      <c r="A96" s="1095" t="s">
        <v>539</v>
      </c>
      <c r="B96" s="3827" t="s">
        <v>1087</v>
      </c>
      <c r="C96" s="3828"/>
      <c r="D96" s="1065" t="s">
        <v>4</v>
      </c>
      <c r="E96" s="1543" t="s">
        <v>1395</v>
      </c>
      <c r="F96" s="442">
        <v>130</v>
      </c>
      <c r="G96" s="409">
        <f>R.HN!C58</f>
        <v>9.8000000000000007</v>
      </c>
      <c r="H96" s="1468">
        <f>G96*12.5</f>
        <v>122.50000000000001</v>
      </c>
      <c r="I96" s="1468">
        <f>($F$96-H96)*1728/1000</f>
        <v>12.959999999999974</v>
      </c>
      <c r="J96" s="1468" t="s">
        <v>8</v>
      </c>
      <c r="K96" s="1459">
        <f>IF(H96=0,0,IF(I96&lt;0,0,I96))</f>
        <v>12.959999999999974</v>
      </c>
      <c r="L96" s="1468" t="s">
        <v>9</v>
      </c>
      <c r="M96" s="1472">
        <f>R.HN!D58</f>
        <v>9.6999999999999993</v>
      </c>
      <c r="N96" s="1476">
        <f>M96*12.5</f>
        <v>121.24999999999999</v>
      </c>
      <c r="O96" s="1476">
        <f>($F$96-N96)*1728/1000</f>
        <v>15.120000000000026</v>
      </c>
      <c r="P96" s="1476" t="s">
        <v>8</v>
      </c>
      <c r="Q96" s="1459">
        <f>IF(N96=0,0,IF(O96&lt;0,0,O96))</f>
        <v>15.120000000000026</v>
      </c>
      <c r="R96" s="38" t="s">
        <v>9</v>
      </c>
      <c r="S96" s="1127"/>
      <c r="T96" s="306"/>
      <c r="AD96" s="12"/>
      <c r="AE96" s="1127"/>
      <c r="AF96" s="306"/>
      <c r="AP96" s="12"/>
      <c r="AQ96" s="12" t="s">
        <v>527</v>
      </c>
    </row>
    <row r="97" spans="1:43" ht="34.5" customHeight="1">
      <c r="A97" s="1095" t="s">
        <v>540</v>
      </c>
      <c r="B97" s="3827" t="s">
        <v>1088</v>
      </c>
      <c r="C97" s="3828"/>
      <c r="D97" s="1065" t="s">
        <v>4</v>
      </c>
      <c r="E97" s="1059" t="s">
        <v>536</v>
      </c>
      <c r="F97" s="442"/>
      <c r="G97" s="409">
        <f>R.HN!C59</f>
        <v>8.1</v>
      </c>
      <c r="H97" s="1468">
        <f>(G96-G97)*1.25</f>
        <v>2.1250000000000013</v>
      </c>
      <c r="I97" s="1468" t="s">
        <v>432</v>
      </c>
      <c r="J97" s="1468" t="s">
        <v>8</v>
      </c>
      <c r="K97" s="1474"/>
      <c r="L97" s="1468" t="s">
        <v>9</v>
      </c>
      <c r="M97" s="1472">
        <f>R.HN!D59</f>
        <v>8</v>
      </c>
      <c r="N97" s="1476">
        <f>(M96-M97)*1.25</f>
        <v>2.1249999999999991</v>
      </c>
      <c r="O97" s="1476" t="s">
        <v>432</v>
      </c>
      <c r="P97" s="1476" t="s">
        <v>8</v>
      </c>
      <c r="Q97" s="1474"/>
      <c r="R97" s="38" t="s">
        <v>9</v>
      </c>
      <c r="S97" s="1127"/>
      <c r="T97" s="306"/>
      <c r="AD97" s="12"/>
      <c r="AE97" s="1127"/>
      <c r="AF97" s="306"/>
      <c r="AP97" s="12"/>
      <c r="AQ97" s="12" t="s">
        <v>527</v>
      </c>
    </row>
    <row r="98" spans="1:43" ht="34.5" customHeight="1">
      <c r="A98" s="1095" t="s">
        <v>541</v>
      </c>
      <c r="B98" s="1128" t="s">
        <v>542</v>
      </c>
      <c r="C98" s="1129"/>
      <c r="D98" s="1065" t="s">
        <v>4</v>
      </c>
      <c r="E98" s="1059" t="s">
        <v>543</v>
      </c>
      <c r="F98" s="443">
        <v>10</v>
      </c>
      <c r="G98" s="409">
        <f>R.HN!C60</f>
        <v>3.95</v>
      </c>
      <c r="H98" s="1468">
        <f>G98*2.08</f>
        <v>8.2160000000000011</v>
      </c>
      <c r="I98" s="1468">
        <f>($F$98-H98)*1728/1000</f>
        <v>3.0827519999999979</v>
      </c>
      <c r="J98" s="1468" t="s">
        <v>8</v>
      </c>
      <c r="K98" s="1459">
        <f>IF(H98=0,0,IF(I98&lt;0,0,I98))</f>
        <v>3.0827519999999979</v>
      </c>
      <c r="L98" s="1468" t="s">
        <v>9</v>
      </c>
      <c r="M98" s="1472">
        <f>R.HN!D60</f>
        <v>3.95</v>
      </c>
      <c r="N98" s="1476">
        <f>M98*2.08</f>
        <v>8.2160000000000011</v>
      </c>
      <c r="O98" s="1476">
        <f>($F$98-N98)*1728/1000</f>
        <v>3.0827519999999979</v>
      </c>
      <c r="P98" s="1476" t="s">
        <v>8</v>
      </c>
      <c r="Q98" s="1459">
        <f>IF(N98=0,0,IF(O98&lt;0,0,O98))</f>
        <v>3.0827519999999979</v>
      </c>
      <c r="R98" s="38" t="s">
        <v>9</v>
      </c>
      <c r="S98" s="1127"/>
      <c r="T98" s="306"/>
      <c r="AD98" s="12"/>
      <c r="AE98" s="1127"/>
      <c r="AF98" s="306"/>
      <c r="AP98" s="12"/>
      <c r="AQ98" s="12" t="s">
        <v>527</v>
      </c>
    </row>
    <row r="99" spans="1:43" ht="34.5" customHeight="1">
      <c r="A99" s="1095" t="s">
        <v>544</v>
      </c>
      <c r="B99" s="1130" t="s">
        <v>5</v>
      </c>
      <c r="C99" s="1131"/>
      <c r="D99" s="1065" t="s">
        <v>5</v>
      </c>
      <c r="E99" s="1059" t="s">
        <v>545</v>
      </c>
      <c r="F99" s="443"/>
      <c r="G99" s="409"/>
      <c r="H99" s="1477">
        <f>'R.FILE GOC'!H99</f>
        <v>6.4</v>
      </c>
      <c r="I99" s="1478"/>
      <c r="J99" s="1478"/>
      <c r="K99" s="1479"/>
      <c r="L99" s="1480"/>
      <c r="M99" s="1097"/>
      <c r="N99" s="1481">
        <f>'R.FILE GOC'!N99</f>
        <v>6.1</v>
      </c>
      <c r="O99" s="1213"/>
      <c r="P99" s="1213"/>
      <c r="Q99" s="1213"/>
      <c r="R99" s="1267"/>
      <c r="S99" s="1127"/>
      <c r="T99" s="306"/>
      <c r="AD99" s="12"/>
      <c r="AE99" s="1127"/>
      <c r="AF99" s="306"/>
      <c r="AP99" s="12"/>
      <c r="AQ99" s="12" t="s">
        <v>527</v>
      </c>
    </row>
    <row r="100" spans="1:43" ht="34.5" hidden="1" customHeight="1">
      <c r="A100" s="1095" t="s">
        <v>546</v>
      </c>
      <c r="B100" s="3137" t="s">
        <v>547</v>
      </c>
      <c r="C100" s="3743"/>
      <c r="D100" s="1065" t="s">
        <v>5</v>
      </c>
      <c r="E100" s="47" t="s">
        <v>1397</v>
      </c>
      <c r="F100" s="1065"/>
      <c r="G100" s="409"/>
      <c r="H100" s="1547">
        <f>'R.FILE GOC'!H100</f>
        <v>0</v>
      </c>
      <c r="I100" s="1548"/>
      <c r="J100" s="1548"/>
      <c r="K100" s="1548"/>
      <c r="L100" s="1549"/>
      <c r="M100" s="1550"/>
      <c r="N100" s="1547">
        <f>'R.FILE GOC'!N100</f>
        <v>0</v>
      </c>
      <c r="O100" s="1213"/>
      <c r="P100" s="1213"/>
      <c r="Q100" s="1213"/>
      <c r="R100" s="1267"/>
      <c r="S100" s="1127"/>
      <c r="T100" s="306"/>
      <c r="AD100" s="12"/>
      <c r="AE100" s="1127"/>
      <c r="AF100" s="306"/>
      <c r="AP100" s="12"/>
      <c r="AQ100" s="12" t="s">
        <v>527</v>
      </c>
    </row>
    <row r="101" spans="1:43" ht="34.5" hidden="1" customHeight="1">
      <c r="A101" s="1095" t="s">
        <v>548</v>
      </c>
      <c r="B101" s="3137" t="s">
        <v>549</v>
      </c>
      <c r="C101" s="3743"/>
      <c r="D101" s="1065" t="s">
        <v>5</v>
      </c>
      <c r="E101" s="47" t="s">
        <v>1397</v>
      </c>
      <c r="F101" s="1065"/>
      <c r="G101" s="409"/>
      <c r="H101" s="1547">
        <f>'R.FILE GOC'!H101</f>
        <v>0</v>
      </c>
      <c r="I101" s="1548"/>
      <c r="J101" s="1548"/>
      <c r="K101" s="1548"/>
      <c r="L101" s="1549"/>
      <c r="M101" s="1550"/>
      <c r="N101" s="1547">
        <f>'R.FILE GOC'!N101</f>
        <v>0</v>
      </c>
      <c r="O101" s="1213"/>
      <c r="P101" s="1213"/>
      <c r="Q101" s="1213"/>
      <c r="R101" s="1267"/>
      <c r="S101" s="1127"/>
      <c r="T101" s="306"/>
      <c r="AD101" s="12"/>
      <c r="AE101" s="1127"/>
      <c r="AF101" s="306"/>
      <c r="AP101" s="12"/>
      <c r="AQ101" s="12" t="s">
        <v>527</v>
      </c>
    </row>
    <row r="102" spans="1:43" ht="34.5" customHeight="1">
      <c r="A102" s="1095" t="s">
        <v>550</v>
      </c>
      <c r="B102" s="3137" t="s">
        <v>551</v>
      </c>
      <c r="C102" s="3743"/>
      <c r="D102" s="1065" t="s">
        <v>5</v>
      </c>
      <c r="E102" s="47" t="s">
        <v>1397</v>
      </c>
      <c r="F102" s="1065"/>
      <c r="G102" s="409"/>
      <c r="H102" s="1547">
        <f>'R.FILE GOC'!H102</f>
        <v>5.5</v>
      </c>
      <c r="I102" s="1548"/>
      <c r="J102" s="1548"/>
      <c r="K102" s="1548"/>
      <c r="L102" s="1549"/>
      <c r="M102" s="1551"/>
      <c r="N102" s="1547">
        <f>'R.FILE GOC'!N102</f>
        <v>5.6</v>
      </c>
      <c r="O102" s="1213"/>
      <c r="P102" s="1213"/>
      <c r="Q102" s="1213"/>
      <c r="R102" s="1267"/>
      <c r="S102" s="1127"/>
      <c r="T102" s="306"/>
      <c r="AD102" s="12"/>
      <c r="AE102" s="1127"/>
      <c r="AF102" s="306"/>
      <c r="AP102" s="12"/>
      <c r="AQ102" s="12" t="s">
        <v>527</v>
      </c>
    </row>
    <row r="103" spans="1:43" ht="42" customHeight="1">
      <c r="A103" s="1106" t="s">
        <v>72</v>
      </c>
      <c r="B103" s="302"/>
      <c r="C103" s="302"/>
      <c r="D103" s="302"/>
      <c r="E103" s="295"/>
      <c r="F103" s="302"/>
      <c r="G103" s="302"/>
      <c r="H103" s="302"/>
      <c r="I103" s="302"/>
      <c r="J103" s="302"/>
      <c r="K103" s="302"/>
      <c r="L103" s="302"/>
      <c r="M103" s="302"/>
      <c r="N103" s="286"/>
      <c r="O103" s="285"/>
      <c r="P103" s="285"/>
      <c r="Q103" s="285"/>
      <c r="R103" s="286"/>
      <c r="S103" s="302"/>
      <c r="T103" s="306"/>
      <c r="AD103" s="12"/>
      <c r="AE103" s="1132"/>
      <c r="AF103" s="306"/>
      <c r="AP103" s="12"/>
    </row>
    <row r="104" spans="1:43" ht="37.5" customHeight="1">
      <c r="A104" s="436" t="s">
        <v>236</v>
      </c>
      <c r="B104" s="3137" t="s">
        <v>60</v>
      </c>
      <c r="C104" s="3743"/>
      <c r="D104" s="276" t="s">
        <v>62</v>
      </c>
      <c r="E104" s="276" t="s">
        <v>63</v>
      </c>
      <c r="F104" s="47"/>
      <c r="G104" s="47"/>
      <c r="H104" s="303" t="s">
        <v>45</v>
      </c>
      <c r="I104" s="304"/>
      <c r="J104" s="304"/>
      <c r="K104" s="303" t="s">
        <v>61</v>
      </c>
      <c r="L104" s="305"/>
      <c r="M104" s="276"/>
      <c r="N104" s="279" t="s">
        <v>45</v>
      </c>
      <c r="O104" s="280"/>
      <c r="P104" s="280"/>
      <c r="Q104" s="279" t="s">
        <v>61</v>
      </c>
      <c r="R104" s="293"/>
      <c r="S104" s="1133"/>
      <c r="T104" s="306"/>
      <c r="AD104" s="12"/>
      <c r="AE104" s="1133"/>
      <c r="AF104" s="306"/>
      <c r="AP104" s="12"/>
      <c r="AQ104" s="12" t="s">
        <v>527</v>
      </c>
    </row>
    <row r="105" spans="1:43" ht="41.25" customHeight="1">
      <c r="A105" s="1095" t="s">
        <v>552</v>
      </c>
      <c r="B105" s="3137" t="s">
        <v>525</v>
      </c>
      <c r="C105" s="3743"/>
      <c r="D105" s="248" t="s">
        <v>194</v>
      </c>
      <c r="E105" s="14" t="s">
        <v>1089</v>
      </c>
      <c r="F105" s="14"/>
      <c r="G105" s="14"/>
      <c r="H105" s="3802">
        <f>'R.FILE GOC'!H105</f>
        <v>61</v>
      </c>
      <c r="I105" s="3802"/>
      <c r="J105" s="3802"/>
      <c r="K105" s="3802">
        <f>'R.FILE GOC'!K105</f>
        <v>62</v>
      </c>
      <c r="L105" s="3802"/>
      <c r="M105" s="1462"/>
      <c r="N105" s="3283">
        <f>'R.FILE GOC'!N105</f>
        <v>59</v>
      </c>
      <c r="O105" s="3283"/>
      <c r="P105" s="3283"/>
      <c r="Q105" s="3283">
        <f>'R.FILE GOC'!Q105</f>
        <v>62</v>
      </c>
      <c r="R105" s="3283"/>
      <c r="S105" s="1134"/>
      <c r="T105" s="306"/>
      <c r="AD105" s="12"/>
      <c r="AE105" s="1134"/>
      <c r="AF105" s="306"/>
      <c r="AP105" s="12"/>
      <c r="AQ105" s="12" t="s">
        <v>527</v>
      </c>
    </row>
    <row r="106" spans="1:43" ht="41.25" customHeight="1">
      <c r="A106" s="1095" t="s">
        <v>553</v>
      </c>
      <c r="B106" s="3137" t="s">
        <v>529</v>
      </c>
      <c r="C106" s="3743"/>
      <c r="D106" s="248" t="s">
        <v>194</v>
      </c>
      <c r="E106" s="14" t="s">
        <v>1089</v>
      </c>
      <c r="F106" s="14"/>
      <c r="G106" s="14"/>
      <c r="H106" s="3802">
        <f>'R.FILE GOC'!H106</f>
        <v>60</v>
      </c>
      <c r="I106" s="3802"/>
      <c r="J106" s="3802"/>
      <c r="K106" s="3802">
        <f>'R.FILE GOC'!K106</f>
        <v>63</v>
      </c>
      <c r="L106" s="3802"/>
      <c r="M106" s="1457"/>
      <c r="N106" s="3283">
        <f>'R.FILE GOC'!N106</f>
        <v>55</v>
      </c>
      <c r="O106" s="3283"/>
      <c r="P106" s="3283"/>
      <c r="Q106" s="3283">
        <f>'R.FILE GOC'!Q106</f>
        <v>62</v>
      </c>
      <c r="R106" s="3283"/>
      <c r="S106" s="1134"/>
      <c r="T106" s="306"/>
      <c r="AD106" s="12"/>
      <c r="AE106" s="1134"/>
      <c r="AF106" s="306"/>
      <c r="AP106" s="12"/>
      <c r="AQ106" s="12" t="s">
        <v>527</v>
      </c>
    </row>
    <row r="107" spans="1:43" ht="41.25" customHeight="1">
      <c r="A107" s="1095" t="s">
        <v>554</v>
      </c>
      <c r="B107" s="3827" t="s">
        <v>1090</v>
      </c>
      <c r="C107" s="3828"/>
      <c r="D107" s="248" t="s">
        <v>194</v>
      </c>
      <c r="E107" s="14" t="s">
        <v>1091</v>
      </c>
      <c r="F107" s="14"/>
      <c r="G107" s="14"/>
      <c r="H107" s="3802">
        <f>'R.FILE GOC'!H107</f>
        <v>23</v>
      </c>
      <c r="I107" s="3802"/>
      <c r="J107" s="3802"/>
      <c r="K107" s="3802">
        <f>'R.FILE GOC'!K107</f>
        <v>19</v>
      </c>
      <c r="L107" s="3802"/>
      <c r="M107" s="3802"/>
      <c r="N107" s="3283">
        <f>'R.FILE GOC'!N107</f>
        <v>23</v>
      </c>
      <c r="O107" s="3283"/>
      <c r="P107" s="3283"/>
      <c r="Q107" s="3283">
        <f>'R.FILE GOC'!Q107</f>
        <v>19</v>
      </c>
      <c r="R107" s="3283"/>
      <c r="S107" s="1134"/>
      <c r="T107" s="306"/>
      <c r="AD107" s="12"/>
      <c r="AE107" s="1134"/>
      <c r="AF107" s="306"/>
      <c r="AP107" s="12"/>
      <c r="AQ107" s="12" t="s">
        <v>527</v>
      </c>
    </row>
    <row r="108" spans="1:43" ht="41.25" customHeight="1">
      <c r="A108" s="1095" t="s">
        <v>555</v>
      </c>
      <c r="B108" s="3827" t="s">
        <v>1092</v>
      </c>
      <c r="C108" s="3828"/>
      <c r="D108" s="248" t="s">
        <v>194</v>
      </c>
      <c r="E108" s="14" t="s">
        <v>1091</v>
      </c>
      <c r="F108" s="14"/>
      <c r="G108" s="14"/>
      <c r="H108" s="3802">
        <f>'R.FILE GOC'!H108</f>
        <v>23</v>
      </c>
      <c r="I108" s="3802"/>
      <c r="J108" s="3802"/>
      <c r="K108" s="3802">
        <f>'R.FILE GOC'!K108</f>
        <v>19</v>
      </c>
      <c r="L108" s="3802"/>
      <c r="M108" s="3802"/>
      <c r="N108" s="3283">
        <f>'R.FILE GOC'!N108</f>
        <v>23</v>
      </c>
      <c r="O108" s="3283"/>
      <c r="P108" s="3283"/>
      <c r="Q108" s="3283">
        <f>'R.FILE GOC'!Q108</f>
        <v>18</v>
      </c>
      <c r="R108" s="3283"/>
      <c r="S108" s="1134"/>
      <c r="T108" s="306"/>
      <c r="AD108" s="12"/>
      <c r="AE108" s="1134"/>
      <c r="AF108" s="306"/>
      <c r="AP108" s="12"/>
      <c r="AQ108" s="12" t="s">
        <v>527</v>
      </c>
    </row>
    <row r="109" spans="1:43" ht="41.25" customHeight="1">
      <c r="A109" s="1095" t="s">
        <v>556</v>
      </c>
      <c r="B109" s="3827" t="s">
        <v>1093</v>
      </c>
      <c r="C109" s="3828"/>
      <c r="D109" s="248" t="s">
        <v>194</v>
      </c>
      <c r="E109" s="14" t="s">
        <v>1091</v>
      </c>
      <c r="F109" s="14"/>
      <c r="G109" s="14"/>
      <c r="H109" s="3802">
        <f>'R.FILE GOC'!H109</f>
        <v>22</v>
      </c>
      <c r="I109" s="3802"/>
      <c r="J109" s="3802"/>
      <c r="K109" s="3802">
        <f>'R.FILE GOC'!K109</f>
        <v>18</v>
      </c>
      <c r="L109" s="3802"/>
      <c r="M109" s="3802"/>
      <c r="N109" s="3283">
        <f>'R.FILE GOC'!N109</f>
        <v>22</v>
      </c>
      <c r="O109" s="3283"/>
      <c r="P109" s="3283"/>
      <c r="Q109" s="3283">
        <f>'R.FILE GOC'!Q109</f>
        <v>18</v>
      </c>
      <c r="R109" s="3283"/>
      <c r="S109" s="1134"/>
      <c r="T109" s="306"/>
      <c r="AD109" s="12"/>
      <c r="AE109" s="1134"/>
      <c r="AF109" s="306"/>
      <c r="AP109" s="12"/>
      <c r="AQ109" s="12" t="s">
        <v>527</v>
      </c>
    </row>
    <row r="110" spans="1:43" ht="41.25" customHeight="1">
      <c r="A110" s="1095" t="s">
        <v>557</v>
      </c>
      <c r="B110" s="3137" t="s">
        <v>542</v>
      </c>
      <c r="C110" s="3743"/>
      <c r="D110" s="248" t="s">
        <v>194</v>
      </c>
      <c r="E110" s="14" t="s">
        <v>1398</v>
      </c>
      <c r="F110" s="14"/>
      <c r="G110" s="14"/>
      <c r="H110" s="3283">
        <f>'R.FILE GOC'!H110</f>
        <v>30</v>
      </c>
      <c r="I110" s="3283"/>
      <c r="J110" s="3283"/>
      <c r="K110" s="3283">
        <f>'R.FILE GOC'!K110</f>
        <v>29</v>
      </c>
      <c r="L110" s="3283"/>
      <c r="M110" s="1400"/>
      <c r="N110" s="3283">
        <f>'R.FILE GOC'!N110</f>
        <v>30</v>
      </c>
      <c r="O110" s="3283"/>
      <c r="P110" s="3283"/>
      <c r="Q110" s="3283">
        <f>'R.FILE GOC'!Q110</f>
        <v>29</v>
      </c>
      <c r="R110" s="3283"/>
      <c r="S110" s="1134"/>
      <c r="T110" s="306"/>
      <c r="AD110" s="12"/>
      <c r="AE110" s="1134"/>
      <c r="AF110" s="306"/>
      <c r="AP110" s="12"/>
      <c r="AQ110" s="12" t="s">
        <v>527</v>
      </c>
    </row>
    <row r="111" spans="1:43" ht="41.25" hidden="1" customHeight="1">
      <c r="A111" s="1095" t="s">
        <v>559</v>
      </c>
      <c r="B111" s="3137" t="s">
        <v>547</v>
      </c>
      <c r="C111" s="3743"/>
      <c r="D111" s="248" t="s">
        <v>194</v>
      </c>
      <c r="E111" s="14" t="s">
        <v>1396</v>
      </c>
      <c r="F111" s="1065"/>
      <c r="G111" s="1065"/>
      <c r="H111" s="3283">
        <f>'R.FILE GOC'!H111</f>
        <v>0</v>
      </c>
      <c r="I111" s="3283"/>
      <c r="J111" s="3283"/>
      <c r="K111" s="3283">
        <f>'R.FILE GOC'!K111</f>
        <v>0</v>
      </c>
      <c r="L111" s="3283"/>
      <c r="M111" s="1400"/>
      <c r="N111" s="3283">
        <f>'R.FILE GOC'!N111</f>
        <v>0</v>
      </c>
      <c r="O111" s="3283"/>
      <c r="P111" s="3283"/>
      <c r="Q111" s="3283">
        <f>'R.FILE GOC'!Q111</f>
        <v>0</v>
      </c>
      <c r="R111" s="3283"/>
      <c r="S111" s="1135"/>
      <c r="T111" s="306"/>
      <c r="AD111" s="12"/>
      <c r="AE111" s="1135"/>
      <c r="AF111" s="306"/>
      <c r="AP111" s="12"/>
      <c r="AQ111" s="12" t="s">
        <v>527</v>
      </c>
    </row>
    <row r="112" spans="1:43" ht="41.25" hidden="1" customHeight="1">
      <c r="A112" s="1095" t="s">
        <v>560</v>
      </c>
      <c r="B112" s="3137" t="s">
        <v>549</v>
      </c>
      <c r="C112" s="3743"/>
      <c r="D112" s="248" t="s">
        <v>194</v>
      </c>
      <c r="E112" s="14" t="s">
        <v>1094</v>
      </c>
      <c r="F112" s="1065"/>
      <c r="G112" s="1065"/>
      <c r="H112" s="3283">
        <f>'R.FILE GOC'!H112</f>
        <v>0</v>
      </c>
      <c r="I112" s="3283"/>
      <c r="J112" s="3283"/>
      <c r="K112" s="3283">
        <f>'R.FILE GOC'!K112</f>
        <v>0</v>
      </c>
      <c r="L112" s="3283"/>
      <c r="M112" s="1542"/>
      <c r="N112" s="3283">
        <f>'R.FILE GOC'!N112</f>
        <v>0</v>
      </c>
      <c r="O112" s="3283"/>
      <c r="P112" s="3283"/>
      <c r="Q112" s="3283">
        <f>'R.FILE GOC'!Q112</f>
        <v>0</v>
      </c>
      <c r="R112" s="3283"/>
      <c r="S112" s="1135"/>
      <c r="T112" s="306"/>
      <c r="AD112" s="12"/>
      <c r="AE112" s="1135"/>
      <c r="AF112" s="306"/>
      <c r="AP112" s="12"/>
      <c r="AQ112" s="12" t="s">
        <v>527</v>
      </c>
    </row>
    <row r="113" spans="1:43" ht="41.25" customHeight="1">
      <c r="A113" s="1095" t="s">
        <v>561</v>
      </c>
      <c r="B113" s="3137" t="s">
        <v>551</v>
      </c>
      <c r="C113" s="3743"/>
      <c r="D113" s="248" t="s">
        <v>194</v>
      </c>
      <c r="E113" s="14" t="s">
        <v>1396</v>
      </c>
      <c r="F113" s="1065"/>
      <c r="G113" s="1065"/>
      <c r="H113" s="3283">
        <f>'R.FILE GOC'!H113</f>
        <v>65</v>
      </c>
      <c r="I113" s="3283"/>
      <c r="J113" s="3283"/>
      <c r="K113" s="3283">
        <f>'R.FILE GOC'!K113</f>
        <v>61</v>
      </c>
      <c r="L113" s="3283"/>
      <c r="M113" s="1400"/>
      <c r="N113" s="3283">
        <f>'R.FILE GOC'!N113</f>
        <v>64</v>
      </c>
      <c r="O113" s="3283"/>
      <c r="P113" s="3283"/>
      <c r="Q113" s="3283">
        <f>'R.FILE GOC'!Q113</f>
        <v>61</v>
      </c>
      <c r="R113" s="3283"/>
      <c r="S113" s="1135"/>
      <c r="T113" s="306"/>
      <c r="AD113" s="12"/>
      <c r="AE113" s="1135"/>
      <c r="AF113" s="306"/>
      <c r="AP113" s="12"/>
      <c r="AQ113" s="12" t="s">
        <v>527</v>
      </c>
    </row>
    <row r="114" spans="1:43" ht="41.25" customHeight="1">
      <c r="A114" s="1095" t="s">
        <v>562</v>
      </c>
      <c r="B114" s="3137" t="s">
        <v>563</v>
      </c>
      <c r="C114" s="3743"/>
      <c r="D114" s="248" t="s">
        <v>194</v>
      </c>
      <c r="E114" s="14" t="s">
        <v>1095</v>
      </c>
      <c r="F114" s="1065"/>
      <c r="G114" s="1065"/>
      <c r="H114" s="3801" t="s">
        <v>1096</v>
      </c>
      <c r="I114" s="3801"/>
      <c r="J114" s="3801"/>
      <c r="K114" s="3802">
        <f>'R.FILE GOC'!K114</f>
        <v>104</v>
      </c>
      <c r="L114" s="3802"/>
      <c r="M114" s="1457"/>
      <c r="N114" s="3699" t="s">
        <v>1256</v>
      </c>
      <c r="O114" s="3699"/>
      <c r="P114" s="3699"/>
      <c r="Q114" s="3283">
        <f>'R.FILE GOC'!Q114</f>
        <v>114</v>
      </c>
      <c r="R114" s="3283"/>
      <c r="S114" s="1135"/>
      <c r="T114" s="306"/>
      <c r="AD114" s="12"/>
      <c r="AE114" s="1135"/>
      <c r="AF114" s="306"/>
      <c r="AP114" s="12"/>
      <c r="AQ114" s="12" t="s">
        <v>527</v>
      </c>
    </row>
  </sheetData>
  <sheetProtection formatCells="0" formatColumns="0" formatRows="0" insertColumns="0" insertRows="0" insertHyperlinks="0" deleteColumns="0" deleteRows="0" selectLockedCells="1" sort="0" autoFilter="0" pivotTables="0"/>
  <mergeCells count="309">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H105:J105"/>
    <mergeCell ref="K105:L105"/>
    <mergeCell ref="N105:P105"/>
    <mergeCell ref="Q105:R105"/>
    <mergeCell ref="H106:J106"/>
    <mergeCell ref="K106:L106"/>
    <mergeCell ref="N106:P106"/>
    <mergeCell ref="Q106:R106"/>
    <mergeCell ref="H107:J107"/>
    <mergeCell ref="N107:P107"/>
    <mergeCell ref="Q107:R107"/>
    <mergeCell ref="K107:M107"/>
    <mergeCell ref="H108:J108"/>
    <mergeCell ref="N108:P108"/>
    <mergeCell ref="Q108:R108"/>
    <mergeCell ref="H109:J109"/>
    <mergeCell ref="N109:P109"/>
    <mergeCell ref="Q109:R109"/>
    <mergeCell ref="H110:J110"/>
    <mergeCell ref="K110:L110"/>
    <mergeCell ref="N110:P110"/>
    <mergeCell ref="Q110:R110"/>
    <mergeCell ref="K108:M108"/>
    <mergeCell ref="K109:M10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s>
  <phoneticPr fontId="7" type="noConversion"/>
  <conditionalFormatting sqref="H6:H7 H26 AL6:AL7 AF6:AF7 Z6:Z7 T6:T7 N6:N7 N26 T26 Z26 AF26 AL26 H42 N42 T42 Z42 AF42 AL42">
    <cfRule type="expression" dxfId="392" priority="605">
      <formula>H6&lt;10</formula>
    </cfRule>
    <cfRule type="expression" dxfId="391" priority="606">
      <formula>H6&gt;15</formula>
    </cfRule>
  </conditionalFormatting>
  <conditionalFormatting sqref="H11 H27 AL8 AL11 AF8 AF11 Z8 Z11 T8 T11 N8 N11 H8 N27 T27 Z27 AF27 AL27 H43 N43 T43 Z43 AF43 AL43">
    <cfRule type="expression" dxfId="390" priority="603">
      <formula>H8&lt;40</formula>
    </cfRule>
    <cfRule type="expression" dxfId="389" priority="604">
      <formula>H8&gt;60</formula>
    </cfRule>
  </conditionalFormatting>
  <conditionalFormatting sqref="H28 AL9 AL12 AF9 AF12 Z9 Z12 T9 T12 N9 N12 H9 H12 N28 T28 Z28 AF28 AL28 H44 N44 T44 Z44 AF44 AL44">
    <cfRule type="expression" dxfId="388" priority="601">
      <formula>H9&lt;5.2</formula>
    </cfRule>
    <cfRule type="expression" dxfId="387" priority="602">
      <formula>H9&gt;7.8</formula>
    </cfRule>
  </conditionalFormatting>
  <conditionalFormatting sqref="H29 AL10 AL13 AF10 AF13 Z10 Z13 T10 T13 N10 N13 H10 H13 N29 T29 Z29 AF29 AL29 H45 N45 T45 Z45 AF45 AL45">
    <cfRule type="expression" dxfId="386" priority="600">
      <formula>H10&gt;0.4</formula>
    </cfRule>
  </conditionalFormatting>
  <conditionalFormatting sqref="H30 AL14 AF14 Z14 T14 N14 H14 N30 T30 Z30 AF30 AL30 H46 N46 T46 Z46 AF46 AL46">
    <cfRule type="expression" dxfId="385" priority="598">
      <formula>H14&lt;0.8</formula>
    </cfRule>
    <cfRule type="expression" dxfId="384" priority="599">
      <formula>H14&gt;1.2</formula>
    </cfRule>
  </conditionalFormatting>
  <conditionalFormatting sqref="H31 AL15 AF15 Z15 T15 N15 H15 N31 T31 Z31 AF31 AL31 H47 N47 T47 Z47 AF47 AL47">
    <cfRule type="expression" dxfId="383" priority="596">
      <formula>H15&lt;8</formula>
    </cfRule>
    <cfRule type="expression" dxfId="382" priority="597">
      <formula>H15&gt;10</formula>
    </cfRule>
  </conditionalFormatting>
  <conditionalFormatting sqref="H25 N25 T25 Z25 AF25 AL25 H41 N41 T41 Z41 AF41 AL41">
    <cfRule type="expression" dxfId="381" priority="594">
      <formula>H25&lt;30</formula>
    </cfRule>
    <cfRule type="expression" dxfId="380" priority="595">
      <formula>H25&gt;50</formula>
    </cfRule>
  </conditionalFormatting>
  <conditionalFormatting sqref="N60 H60">
    <cfRule type="expression" dxfId="379" priority="592">
      <formula>H60&lt;5</formula>
    </cfRule>
    <cfRule type="expression" dxfId="378" priority="593">
      <formula>H60&gt;15</formula>
    </cfRule>
  </conditionalFormatting>
  <conditionalFormatting sqref="N61 H61">
    <cfRule type="expression" dxfId="377" priority="591">
      <formula>H61&gt;1.5</formula>
    </cfRule>
  </conditionalFormatting>
  <conditionalFormatting sqref="N62 H62">
    <cfRule type="expression" dxfId="376" priority="589">
      <formula>H62&lt;20</formula>
    </cfRule>
    <cfRule type="expression" dxfId="375" priority="590">
      <formula>H62&gt;25</formula>
    </cfRule>
  </conditionalFormatting>
  <conditionalFormatting sqref="N63 H63">
    <cfRule type="expression" dxfId="374" priority="587">
      <formula>H63&lt;6</formula>
    </cfRule>
    <cfRule type="expression" dxfId="373" priority="588">
      <formula>H63&gt;9</formula>
    </cfRule>
  </conditionalFormatting>
  <conditionalFormatting sqref="N64 H64">
    <cfRule type="expression" dxfId="372" priority="585">
      <formula>H64&lt;7</formula>
    </cfRule>
    <cfRule type="expression" dxfId="371" priority="586">
      <formula>H64&gt;10</formula>
    </cfRule>
  </conditionalFormatting>
  <conditionalFormatting sqref="N65:N66 H65:H66">
    <cfRule type="expression" dxfId="370" priority="583">
      <formula>H65&lt;5.3</formula>
    </cfRule>
    <cfRule type="expression" dxfId="369" priority="584">
      <formula>H65&gt;6</formula>
    </cfRule>
  </conditionalFormatting>
  <conditionalFormatting sqref="H67 H69">
    <cfRule type="expression" dxfId="368" priority="581">
      <formula>H67&lt;12</formula>
    </cfRule>
    <cfRule type="expression" dxfId="367" priority="582">
      <formula>H67&gt;18</formula>
    </cfRule>
  </conditionalFormatting>
  <conditionalFormatting sqref="H68 H70">
    <cfRule type="expression" dxfId="366" priority="579">
      <formula>H68&lt;8</formula>
    </cfRule>
    <cfRule type="expression" dxfId="365" priority="580">
      <formula>H68&gt;16</formula>
    </cfRule>
  </conditionalFormatting>
  <conditionalFormatting sqref="N89:N90 H89:H90">
    <cfRule type="expression" dxfId="364" priority="577">
      <formula>H89&lt;20</formula>
    </cfRule>
    <cfRule type="expression" dxfId="363" priority="578">
      <formula>H89&gt;30</formula>
    </cfRule>
  </conditionalFormatting>
  <conditionalFormatting sqref="N91 H91">
    <cfRule type="expression" dxfId="362" priority="575">
      <formula>H91&lt;210</formula>
    </cfRule>
    <cfRule type="expression" dxfId="361" priority="576">
      <formula>H91&gt;290</formula>
    </cfRule>
  </conditionalFormatting>
  <conditionalFormatting sqref="N92 N94 N96 H92 H94 H96">
    <cfRule type="expression" dxfId="360" priority="573">
      <formula>H92&lt;120</formula>
    </cfRule>
    <cfRule type="expression" dxfId="359" priority="574">
      <formula>H92&gt;150</formula>
    </cfRule>
  </conditionalFormatting>
  <conditionalFormatting sqref="N93 N95 N97 H93 H95 H97">
    <cfRule type="expression" dxfId="358" priority="571">
      <formula>H93&lt;1</formula>
    </cfRule>
    <cfRule type="expression" dxfId="357" priority="572">
      <formula>H93&gt;5</formula>
    </cfRule>
  </conditionalFormatting>
  <conditionalFormatting sqref="N98 H98">
    <cfRule type="expression" dxfId="356" priority="569">
      <formula>H98&lt;8</formula>
    </cfRule>
    <cfRule type="expression" dxfId="355" priority="570">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354" priority="568">
      <formula>H6&lt;1</formula>
    </cfRule>
  </conditionalFormatting>
  <conditionalFormatting sqref="H30 AL14 AF14 Z14 T14 N14 H14 N30 T30 Z30 AF30 AL30 H46 N46 T46 Z46 AF46 AL46">
    <cfRule type="expression" dxfId="353" priority="567">
      <formula>H14&lt;0.1</formula>
    </cfRule>
  </conditionalFormatting>
  <conditionalFormatting sqref="H18:L19 N18:R19 T18:X19 Z18:AD19 AF18:AJ19 AL18:AP19 H35:L35 N35:R35 T35:X35 Z35:AD35 AF35:AJ35 AL35:AP35 H51:L51 N51:R51 T51:X51 Z51:AD51 AF51:AJ51 AL51:AP51">
    <cfRule type="expression" dxfId="352" priority="565">
      <formula>H18&lt;65</formula>
    </cfRule>
    <cfRule type="expression" dxfId="351" priority="566">
      <formula>H18&gt;85</formula>
    </cfRule>
  </conditionalFormatting>
  <conditionalFormatting sqref="H20:L20 N20:R20 T20:X20 Z20:AD20 AF20:AJ20 AL20:AP20 H36:L36 N36:R36 T36:X36 Z36:AD36 AF36:AJ36 AL36:AP36 H52:L52 N52:R52 T52:X52 Z52:AD52 AF52:AJ52 AL52:AP52">
    <cfRule type="expression" dxfId="350" priority="563">
      <formula>H20&lt;80</formula>
    </cfRule>
    <cfRule type="expression" dxfId="349" priority="564">
      <formula>H20&gt;90</formula>
    </cfRule>
  </conditionalFormatting>
  <conditionalFormatting sqref="H34 K34 N34 Q34 T34 W34 Z34 AC34 AF34 AI34 AL34 AO34 H50 K50 N50 Q50 T50 W50 Z50 AC50 AF50 AI50 AL50 AO50 H111 H113 K111 K113 N111 N113 Q111 Q113">
    <cfRule type="expression" dxfId="348" priority="465">
      <formula>H34&lt;55</formula>
    </cfRule>
    <cfRule type="expression" dxfId="347" priority="466">
      <formula>H34&gt;65</formula>
    </cfRule>
  </conditionalFormatting>
  <conditionalFormatting sqref="K75:L77 N75:R77 H75:H77">
    <cfRule type="expression" dxfId="346" priority="393">
      <formula>H75&lt;51</formula>
    </cfRule>
    <cfRule type="expression" dxfId="345" priority="394">
      <formula>H75&gt;59</formula>
    </cfRule>
  </conditionalFormatting>
  <conditionalFormatting sqref="K78:L78 H78 N78:R78">
    <cfRule type="expression" dxfId="344" priority="387">
      <formula>H78&lt;30</formula>
    </cfRule>
    <cfRule type="expression" dxfId="343" priority="388">
      <formula>H78&gt;40</formula>
    </cfRule>
  </conditionalFormatting>
  <conditionalFormatting sqref="K79:L80 N79:R80 H79:H80">
    <cfRule type="expression" dxfId="342" priority="384">
      <formula>H79&lt;26</formula>
    </cfRule>
    <cfRule type="expression" dxfId="341" priority="385">
      <formula>H79&gt;32</formula>
    </cfRule>
  </conditionalFormatting>
  <conditionalFormatting sqref="K81 Q81">
    <cfRule type="expression" dxfId="340" priority="363">
      <formula>K81&lt;170</formula>
    </cfRule>
    <cfRule type="expression" dxfId="339" priority="364">
      <formula>K81&gt;220</formula>
    </cfRule>
  </conditionalFormatting>
  <conditionalFormatting sqref="H57 N57">
    <cfRule type="expression" dxfId="338" priority="168">
      <formula>H57&lt;10</formula>
    </cfRule>
    <cfRule type="expression" dxfId="337" priority="169">
      <formula>H57&gt;20</formula>
    </cfRule>
  </conditionalFormatting>
  <conditionalFormatting sqref="I58:I59">
    <cfRule type="expression" dxfId="336" priority="167" stopIfTrue="1">
      <formula>I58&lt;40</formula>
    </cfRule>
  </conditionalFormatting>
  <conditionalFormatting sqref="I58:I59">
    <cfRule type="expression" dxfId="335" priority="166" stopIfTrue="1">
      <formula>I58&gt;60</formula>
    </cfRule>
  </conditionalFormatting>
  <conditionalFormatting sqref="H99 N99">
    <cfRule type="expression" dxfId="334" priority="162">
      <formula>H99&lt;6</formula>
    </cfRule>
    <cfRule type="expression" dxfId="333" priority="163">
      <formula>H99&gt;8</formula>
    </cfRule>
  </conditionalFormatting>
  <conditionalFormatting sqref="H105:H106 K105:K106 N105:N106 Q105:Q106">
    <cfRule type="expression" dxfId="332" priority="154">
      <formula>H105&lt;45</formula>
    </cfRule>
    <cfRule type="expression" dxfId="331" priority="155">
      <formula>H105&gt;65</formula>
    </cfRule>
  </conditionalFormatting>
  <conditionalFormatting sqref="K114 Q114">
    <cfRule type="expression" dxfId="330" priority="146">
      <formula>K114&lt;100</formula>
    </cfRule>
    <cfRule type="expression" dxfId="329" priority="147">
      <formula>K114&gt;110</formula>
    </cfRule>
  </conditionalFormatting>
  <conditionalFormatting sqref="H107:H109 K107:K109 N107:N109 Q107:Q109">
    <cfRule type="expression" dxfId="328" priority="118">
      <formula>H107&lt;18</formula>
    </cfRule>
    <cfRule type="expression" dxfId="327" priority="119">
      <formula>H107&gt;25</formula>
    </cfRule>
  </conditionalFormatting>
  <conditionalFormatting sqref="H110 K110 N110 Q110">
    <cfRule type="expression" dxfId="326" priority="110">
      <formula>H110&lt;45</formula>
    </cfRule>
    <cfRule type="expression" dxfId="325" priority="111">
      <formula>H110&gt;60</formula>
    </cfRule>
  </conditionalFormatting>
  <conditionalFormatting sqref="H112 K112 N112 Q112">
    <cfRule type="expression" dxfId="324" priority="104">
      <formula>H112&lt;42</formula>
    </cfRule>
    <cfRule type="expression" dxfId="323" priority="105">
      <formula>H112&gt;47</formula>
    </cfRule>
  </conditionalFormatting>
  <conditionalFormatting sqref="H100:H102 N100:N102">
    <cfRule type="expression" dxfId="322" priority="78">
      <formula>H100&lt;5.5</formula>
    </cfRule>
    <cfRule type="expression" dxfId="321" priority="79">
      <formula>H100&gt;6</formula>
    </cfRule>
  </conditionalFormatting>
  <conditionalFormatting sqref="H58:H59 N58:N59">
    <cfRule type="cellIs" dxfId="320" priority="64" operator="between">
      <formula>40</formula>
      <formula>44.99</formula>
    </cfRule>
    <cfRule type="cellIs" dxfId="319" priority="65" operator="between">
      <formula>55.1</formula>
      <formula>60</formula>
    </cfRule>
    <cfRule type="expression" dxfId="318" priority="66">
      <formula>H58&lt;40</formula>
    </cfRule>
    <cfRule type="expression" dxfId="317" priority="67">
      <formula>H58&gt;60</formula>
    </cfRule>
  </conditionalFormatting>
  <printOptions horizontalCentered="1"/>
  <pageMargins left="0.26" right="0.16" top="0.3" bottom="0.45" header="0.17" footer="0.27559055118110237"/>
  <pageSetup paperSize="9" scale="38" orientation="portrait" verticalDpi="300" r:id="rId1"/>
  <headerFooter alignWithMargins="0"/>
  <drawing r:id="rId2"/>
</worksheet>
</file>

<file path=xl/worksheets/sheet43.xml><?xml version="1.0" encoding="utf-8"?>
<worksheet xmlns="http://schemas.openxmlformats.org/spreadsheetml/2006/main" xmlns:r="http://schemas.openxmlformats.org/officeDocument/2006/relationships">
  <sheetPr codeName="Sheet33">
    <tabColor rgb="FF00B050"/>
  </sheetPr>
  <dimension ref="A1:Y128"/>
  <sheetViews>
    <sheetView topLeftCell="A100" zoomScale="70" zoomScaleNormal="70" workbookViewId="0">
      <selection activeCell="A108" sqref="A108:T128"/>
    </sheetView>
  </sheetViews>
  <sheetFormatPr defaultRowHeight="18"/>
  <cols>
    <col min="1" max="1" width="3.375" style="609" customWidth="1"/>
    <col min="2" max="2" width="22.25" style="1819" customWidth="1"/>
    <col min="3" max="4" width="5" style="609" customWidth="1"/>
    <col min="5" max="5" width="8.125" style="609" customWidth="1"/>
    <col min="6" max="6" width="15.75" style="662" customWidth="1"/>
    <col min="7" max="7" width="12" style="609" hidden="1" customWidth="1"/>
    <col min="8" max="8" width="8.75" style="609" hidden="1" customWidth="1"/>
    <col min="9" max="9" width="9.125" style="663" hidden="1" customWidth="1"/>
    <col min="10" max="10" width="11.25" style="663" hidden="1" customWidth="1"/>
    <col min="11" max="11" width="2.5" style="663" hidden="1" customWidth="1"/>
    <col min="12" max="12" width="9.5" style="664" hidden="1" customWidth="1"/>
    <col min="13" max="13" width="4.75" style="663" hidden="1" customWidth="1"/>
    <col min="14" max="14" width="8.75" style="663" hidden="1" customWidth="1"/>
    <col min="15" max="15" width="8.125" style="663" customWidth="1"/>
    <col min="16" max="16" width="11.25" style="663" hidden="1" customWidth="1"/>
    <col min="17" max="17" width="3" style="663" customWidth="1"/>
    <col min="18" max="18" width="9.25" style="664" customWidth="1"/>
    <col min="19" max="19" width="4.5" style="663" customWidth="1"/>
    <col min="20" max="20" width="9" style="663" hidden="1" customWidth="1"/>
    <col min="21" max="21" width="8.375" style="663" customWidth="1"/>
    <col min="22" max="22" width="9" style="663" hidden="1" customWidth="1"/>
    <col min="23" max="23" width="3.75" style="663" customWidth="1"/>
    <col min="24" max="24" width="8.5" style="664" customWidth="1"/>
    <col min="25" max="25" width="4.75" style="663" customWidth="1"/>
    <col min="26" max="16384" width="9" style="609"/>
  </cols>
  <sheetData>
    <row r="1" spans="1:25" ht="53.25" customHeight="1">
      <c r="A1" s="3835" t="s">
        <v>731</v>
      </c>
      <c r="B1" s="3835"/>
      <c r="C1" s="3835"/>
      <c r="D1" s="3835"/>
      <c r="E1" s="3835"/>
      <c r="F1" s="3835"/>
      <c r="G1" s="3835"/>
      <c r="H1" s="3835"/>
      <c r="I1" s="3835"/>
      <c r="J1" s="3835"/>
      <c r="K1" s="3835"/>
      <c r="L1" s="3835"/>
      <c r="M1" s="3835"/>
      <c r="N1" s="3835"/>
      <c r="O1" s="3835"/>
      <c r="P1" s="3835"/>
      <c r="Q1" s="3835"/>
      <c r="R1" s="3835"/>
      <c r="S1" s="3835"/>
      <c r="T1" s="3835"/>
      <c r="U1" s="3835"/>
      <c r="V1" s="3835"/>
      <c r="W1" s="3835"/>
      <c r="X1" s="3835"/>
      <c r="Y1" s="3835"/>
    </row>
    <row r="2" spans="1:25" ht="28.5" customHeight="1">
      <c r="A2" s="610"/>
      <c r="B2" s="1817"/>
      <c r="C2" s="610"/>
      <c r="D2" s="610"/>
      <c r="E2" s="611"/>
      <c r="F2" s="612"/>
      <c r="G2" s="611"/>
      <c r="H2" s="611"/>
      <c r="I2" s="611"/>
      <c r="J2" s="611"/>
      <c r="K2" s="611"/>
      <c r="L2" s="1136"/>
      <c r="M2" s="611"/>
      <c r="N2" s="611"/>
      <c r="O2" s="611"/>
      <c r="P2" s="611"/>
      <c r="Q2" s="611"/>
      <c r="R2" s="613"/>
      <c r="S2" s="611"/>
      <c r="T2" s="611"/>
      <c r="U2" s="611"/>
      <c r="V2" s="611"/>
      <c r="W2" s="611"/>
      <c r="X2" s="1136"/>
      <c r="Y2" s="611"/>
    </row>
    <row r="3" spans="1:25" s="614" customFormat="1" ht="30.75" customHeight="1">
      <c r="A3" s="3836" t="s">
        <v>401</v>
      </c>
      <c r="B3" s="3837"/>
      <c r="C3" s="3858" t="str">
        <f>MENU!$AC$9</f>
        <v>Thứ 5,</v>
      </c>
      <c r="D3" s="3858"/>
      <c r="E3" s="3859" t="str">
        <f>MENU!$AD$9</f>
        <v>2024/08/01</v>
      </c>
      <c r="F3" s="3860"/>
      <c r="G3" s="3860"/>
      <c r="H3" s="3860"/>
      <c r="I3" s="1995" t="s">
        <v>732</v>
      </c>
      <c r="J3" s="1995"/>
      <c r="K3" s="1995"/>
      <c r="L3" s="1995"/>
      <c r="M3" s="1995"/>
      <c r="N3" s="1995"/>
      <c r="O3" s="1995"/>
      <c r="P3" s="1995"/>
      <c r="Q3" s="1995"/>
      <c r="R3" s="1995"/>
      <c r="S3" s="1995"/>
      <c r="T3" s="1995"/>
      <c r="U3" s="1995"/>
      <c r="V3" s="1995"/>
      <c r="W3" s="1995"/>
      <c r="X3" s="1995"/>
      <c r="Y3" s="1996"/>
    </row>
    <row r="4" spans="1:25" ht="30.75" customHeight="1">
      <c r="A4" s="3838" t="s">
        <v>7</v>
      </c>
      <c r="B4" s="3841" t="s">
        <v>733</v>
      </c>
      <c r="C4" s="3842"/>
      <c r="D4" s="3843"/>
      <c r="E4" s="3850" t="s">
        <v>734</v>
      </c>
      <c r="F4" s="3853" t="s">
        <v>735</v>
      </c>
      <c r="G4" s="615"/>
      <c r="H4" s="616"/>
      <c r="I4" s="3856" t="s">
        <v>736</v>
      </c>
      <c r="J4" s="3857"/>
      <c r="K4" s="3857"/>
      <c r="L4" s="3857"/>
      <c r="M4" s="3857"/>
      <c r="N4" s="617"/>
      <c r="O4" s="3856" t="s">
        <v>1279</v>
      </c>
      <c r="P4" s="3857"/>
      <c r="Q4" s="3857"/>
      <c r="R4" s="3857"/>
      <c r="S4" s="3857"/>
      <c r="T4" s="617"/>
      <c r="U4" s="3856" t="s">
        <v>1280</v>
      </c>
      <c r="V4" s="3857"/>
      <c r="W4" s="3857"/>
      <c r="X4" s="3857"/>
      <c r="Y4" s="3857"/>
    </row>
    <row r="5" spans="1:25" ht="30.75" customHeight="1">
      <c r="A5" s="3839"/>
      <c r="B5" s="3844"/>
      <c r="C5" s="3845"/>
      <c r="D5" s="3846"/>
      <c r="E5" s="3851"/>
      <c r="F5" s="3854"/>
      <c r="G5" s="618" t="s">
        <v>420</v>
      </c>
      <c r="H5" s="619"/>
      <c r="I5" s="3829" t="s">
        <v>737</v>
      </c>
      <c r="J5" s="621" t="s">
        <v>738</v>
      </c>
      <c r="K5" s="3831" t="s">
        <v>1</v>
      </c>
      <c r="L5" s="3831"/>
      <c r="M5" s="3832"/>
      <c r="N5" s="620"/>
      <c r="O5" s="3829" t="s">
        <v>737</v>
      </c>
      <c r="P5" s="621" t="s">
        <v>738</v>
      </c>
      <c r="Q5" s="3831" t="s">
        <v>1</v>
      </c>
      <c r="R5" s="3831"/>
      <c r="S5" s="3832"/>
      <c r="T5" s="619"/>
      <c r="U5" s="3829" t="s">
        <v>737</v>
      </c>
      <c r="V5" s="621" t="s">
        <v>738</v>
      </c>
      <c r="W5" s="3831" t="s">
        <v>1</v>
      </c>
      <c r="X5" s="3831"/>
      <c r="Y5" s="3832"/>
    </row>
    <row r="6" spans="1:25" ht="30.75" customHeight="1">
      <c r="A6" s="3840"/>
      <c r="B6" s="3847"/>
      <c r="C6" s="3848"/>
      <c r="D6" s="3849"/>
      <c r="E6" s="3852"/>
      <c r="F6" s="3855"/>
      <c r="G6" s="618"/>
      <c r="H6" s="619"/>
      <c r="I6" s="3830"/>
      <c r="J6" s="622"/>
      <c r="K6" s="3833"/>
      <c r="L6" s="3833"/>
      <c r="M6" s="3834"/>
      <c r="N6" s="620"/>
      <c r="O6" s="3830"/>
      <c r="P6" s="622"/>
      <c r="Q6" s="3833"/>
      <c r="R6" s="3833"/>
      <c r="S6" s="3834"/>
      <c r="T6" s="619"/>
      <c r="U6" s="3830"/>
      <c r="V6" s="622"/>
      <c r="W6" s="3833"/>
      <c r="X6" s="3833"/>
      <c r="Y6" s="3834"/>
    </row>
    <row r="7" spans="1:25" ht="30.75" customHeight="1">
      <c r="A7" s="623">
        <v>1</v>
      </c>
      <c r="B7" s="3861" t="s">
        <v>739</v>
      </c>
      <c r="C7" s="3862"/>
      <c r="D7" s="3863"/>
      <c r="E7" s="624" t="s">
        <v>429</v>
      </c>
      <c r="F7" s="625" t="s">
        <v>725</v>
      </c>
      <c r="G7" s="626">
        <v>40</v>
      </c>
      <c r="H7" s="627">
        <f>R.HN!C16</f>
        <v>4.0999999999999996</v>
      </c>
      <c r="I7" s="633"/>
      <c r="J7" s="633"/>
      <c r="K7" s="634"/>
      <c r="L7" s="1137"/>
      <c r="M7" s="635"/>
      <c r="N7" s="628">
        <f>R.HN!D16</f>
        <v>4</v>
      </c>
      <c r="O7" s="300">
        <f>'R.GUI MAIL'!H25</f>
        <v>41</v>
      </c>
      <c r="P7" s="629"/>
      <c r="Q7" s="630" t="s">
        <v>8</v>
      </c>
      <c r="R7" s="1138">
        <f>'R.GUI MAIL'!K25</f>
        <v>0</v>
      </c>
      <c r="S7" s="631" t="s">
        <v>9</v>
      </c>
      <c r="T7" s="628"/>
      <c r="U7" s="300">
        <f>'R.GUI MAIL'!H41</f>
        <v>0</v>
      </c>
      <c r="V7" s="633"/>
      <c r="W7" s="630" t="s">
        <v>8</v>
      </c>
      <c r="X7" s="1139">
        <f>'R.GUI MAIL'!K41</f>
        <v>0</v>
      </c>
      <c r="Y7" s="631" t="s">
        <v>1281</v>
      </c>
    </row>
    <row r="8" spans="1:25" ht="30.75" customHeight="1">
      <c r="A8" s="623">
        <v>2</v>
      </c>
      <c r="B8" s="3861" t="s">
        <v>423</v>
      </c>
      <c r="C8" s="3862"/>
      <c r="D8" s="3863"/>
      <c r="E8" s="632" t="s">
        <v>3</v>
      </c>
      <c r="F8" s="625" t="s">
        <v>424</v>
      </c>
      <c r="G8" s="626">
        <v>22</v>
      </c>
      <c r="H8" s="627">
        <f>R.HN!C17</f>
        <v>2.9</v>
      </c>
      <c r="I8" s="300">
        <f>'R.GUI MAIL'!H6</f>
        <v>0</v>
      </c>
      <c r="J8" s="629"/>
      <c r="K8" s="630" t="s">
        <v>8</v>
      </c>
      <c r="L8" s="1138">
        <f>'R.GUI MAIL'!K6</f>
        <v>0</v>
      </c>
      <c r="M8" s="631" t="s">
        <v>10</v>
      </c>
      <c r="N8" s="628">
        <f>R.HN!D17</f>
        <v>3.1</v>
      </c>
      <c r="O8" s="300">
        <f>'R.GUI MAIL'!H26</f>
        <v>10.584999999999999</v>
      </c>
      <c r="P8" s="629"/>
      <c r="Q8" s="630" t="s">
        <v>8</v>
      </c>
      <c r="R8" s="1138">
        <f>'R.GUI MAIL'!K26</f>
        <v>155.89296875000008</v>
      </c>
      <c r="S8" s="631" t="s">
        <v>10</v>
      </c>
      <c r="T8" s="628"/>
      <c r="U8" s="300">
        <f>'R.GUI MAIL'!H42</f>
        <v>0</v>
      </c>
      <c r="V8" s="629"/>
      <c r="W8" s="630" t="s">
        <v>8</v>
      </c>
      <c r="X8" s="1138">
        <f>'R.GUI MAIL'!K42</f>
        <v>0</v>
      </c>
      <c r="Y8" s="631" t="str">
        <f>'R.GUI MAIL'!L41</f>
        <v>kg</v>
      </c>
    </row>
    <row r="9" spans="1:25" ht="24.75" hidden="1" customHeight="1">
      <c r="A9" s="623">
        <v>3</v>
      </c>
      <c r="B9" s="3864" t="s">
        <v>389</v>
      </c>
      <c r="C9" s="3865"/>
      <c r="D9" s="3866"/>
      <c r="E9" s="632" t="s">
        <v>3</v>
      </c>
      <c r="F9" s="625" t="s">
        <v>424</v>
      </c>
      <c r="G9" s="626"/>
      <c r="H9" s="627"/>
      <c r="I9" s="1096">
        <f>'R.GUI MAIL'!H7</f>
        <v>0</v>
      </c>
      <c r="J9" s="629"/>
      <c r="K9" s="630" t="s">
        <v>8</v>
      </c>
      <c r="L9" s="1138">
        <f>'R.GUI MAIL'!K7</f>
        <v>292.1875</v>
      </c>
      <c r="M9" s="631" t="s">
        <v>10</v>
      </c>
      <c r="N9" s="628"/>
      <c r="O9" s="633"/>
      <c r="P9" s="633"/>
      <c r="Q9" s="634"/>
      <c r="R9" s="1137"/>
      <c r="S9" s="635"/>
      <c r="T9" s="636"/>
      <c r="U9" s="1096">
        <f>'R.GUI MAIL'!H42</f>
        <v>0</v>
      </c>
      <c r="V9" s="629"/>
      <c r="W9" s="630" t="s">
        <v>8</v>
      </c>
      <c r="X9" s="1138">
        <f>'R.GUI MAIL'!K42</f>
        <v>0</v>
      </c>
      <c r="Y9" s="631" t="str">
        <f>'R.GUI MAIL'!L42</f>
        <v>L</v>
      </c>
    </row>
    <row r="10" spans="1:25" ht="30.75" customHeight="1">
      <c r="A10" s="623">
        <v>4</v>
      </c>
      <c r="B10" s="3867" t="s">
        <v>740</v>
      </c>
      <c r="C10" s="1140" t="s">
        <v>741</v>
      </c>
      <c r="D10" s="1141">
        <f>R.HN!$C$12</f>
        <v>3</v>
      </c>
      <c r="E10" s="3869" t="s">
        <v>429</v>
      </c>
      <c r="F10" s="625" t="s">
        <v>727</v>
      </c>
      <c r="G10" s="626">
        <v>50</v>
      </c>
      <c r="H10" s="627">
        <f>R.HN!C18</f>
        <v>4.25</v>
      </c>
      <c r="I10" s="300">
        <f>'R.GUI MAIL'!H8</f>
        <v>0</v>
      </c>
      <c r="J10" s="629"/>
      <c r="K10" s="630" t="s">
        <v>8</v>
      </c>
      <c r="L10" s="1138">
        <f>'R.GUI MAIL'!K8</f>
        <v>0</v>
      </c>
      <c r="M10" s="631" t="s">
        <v>9</v>
      </c>
      <c r="N10" s="628">
        <f>R.HN!D18</f>
        <v>5</v>
      </c>
      <c r="O10" s="300">
        <f>'R.GUI MAIL'!H27</f>
        <v>42.5</v>
      </c>
      <c r="P10" s="629"/>
      <c r="Q10" s="630" t="s">
        <v>8</v>
      </c>
      <c r="R10" s="1138">
        <f>'R.GUI MAIL'!K27</f>
        <v>37.012500000000003</v>
      </c>
      <c r="S10" s="631" t="s">
        <v>9</v>
      </c>
      <c r="T10" s="628"/>
      <c r="U10" s="300">
        <f>'R.GUI MAIL'!H43</f>
        <v>0</v>
      </c>
      <c r="V10" s="629"/>
      <c r="W10" s="630" t="s">
        <v>8</v>
      </c>
      <c r="X10" s="1138">
        <f>'R.GUI MAIL'!K43</f>
        <v>0</v>
      </c>
      <c r="Y10" s="631" t="str">
        <f>'R.GUI MAIL'!L43</f>
        <v>kg</v>
      </c>
    </row>
    <row r="11" spans="1:25" ht="30.75" customHeight="1">
      <c r="A11" s="623">
        <v>5</v>
      </c>
      <c r="B11" s="3868"/>
      <c r="C11" s="1142"/>
      <c r="D11" s="1143"/>
      <c r="E11" s="3869"/>
      <c r="F11" s="625" t="s">
        <v>723</v>
      </c>
      <c r="G11" s="637">
        <v>6</v>
      </c>
      <c r="H11" s="627">
        <f>R.HN!C19</f>
        <v>5.7</v>
      </c>
      <c r="I11" s="300">
        <f>'R.GUI MAIL'!H9</f>
        <v>0</v>
      </c>
      <c r="J11" s="629"/>
      <c r="K11" s="630" t="s">
        <v>8</v>
      </c>
      <c r="L11" s="1138">
        <f>'R.GUI MAIL'!K9</f>
        <v>0</v>
      </c>
      <c r="M11" s="631" t="s">
        <v>9</v>
      </c>
      <c r="N11" s="628">
        <f>R.HN!D19</f>
        <v>6</v>
      </c>
      <c r="O11" s="300">
        <f>'R.GUI MAIL'!H28</f>
        <v>7.4561403508771926</v>
      </c>
      <c r="P11" s="629"/>
      <c r="Q11" s="630"/>
      <c r="R11" s="1138">
        <f>'R.GUI MAIL'!K28</f>
        <v>0</v>
      </c>
      <c r="S11" s="631" t="s">
        <v>9</v>
      </c>
      <c r="T11" s="628"/>
      <c r="U11" s="300">
        <f>'R.GUI MAIL'!H44</f>
        <v>0</v>
      </c>
      <c r="V11" s="629"/>
      <c r="W11" s="630" t="s">
        <v>8</v>
      </c>
      <c r="X11" s="1138">
        <f>'R.GUI MAIL'!K44</f>
        <v>0</v>
      </c>
      <c r="Y11" s="631" t="str">
        <f>'R.GUI MAIL'!L44</f>
        <v>kg</v>
      </c>
    </row>
    <row r="12" spans="1:25" ht="30.75" customHeight="1">
      <c r="A12" s="623">
        <v>6</v>
      </c>
      <c r="B12" s="3868"/>
      <c r="C12" s="1142"/>
      <c r="D12" s="1143"/>
      <c r="E12" s="3869"/>
      <c r="F12" s="625" t="s">
        <v>611</v>
      </c>
      <c r="G12" s="637">
        <v>0.4</v>
      </c>
      <c r="H12" s="627">
        <f>R.HN!C20</f>
        <v>0.11</v>
      </c>
      <c r="I12" s="412">
        <f>'R.GUI MAIL'!H10</f>
        <v>0</v>
      </c>
      <c r="J12" s="629"/>
      <c r="K12" s="630" t="s">
        <v>8</v>
      </c>
      <c r="L12" s="1138">
        <f>'R.GUI MAIL'!K10</f>
        <v>0</v>
      </c>
      <c r="M12" s="631" t="s">
        <v>9</v>
      </c>
      <c r="N12" s="628">
        <f>R.HN!D20</f>
        <v>0.12</v>
      </c>
      <c r="O12" s="412">
        <f>'R.GUI MAIL'!H29</f>
        <v>0.11</v>
      </c>
      <c r="P12" s="638"/>
      <c r="Q12" s="639"/>
      <c r="R12" s="1138">
        <f>'R.GUI MAIL'!K29</f>
        <v>0</v>
      </c>
      <c r="S12" s="640" t="s">
        <v>9</v>
      </c>
      <c r="T12" s="641"/>
      <c r="U12" s="412">
        <f>'R.GUI MAIL'!H45</f>
        <v>0</v>
      </c>
      <c r="V12" s="629"/>
      <c r="W12" s="630" t="s">
        <v>8</v>
      </c>
      <c r="X12" s="1138">
        <f>'R.GUI MAIL'!K45</f>
        <v>0</v>
      </c>
      <c r="Y12" s="631">
        <f>'R.GUI MAIL'!L45</f>
        <v>0</v>
      </c>
    </row>
    <row r="13" spans="1:25" ht="30.75" hidden="1" customHeight="1">
      <c r="A13" s="623">
        <v>7</v>
      </c>
      <c r="B13" s="3867" t="s">
        <v>740</v>
      </c>
      <c r="C13" s="1140" t="s">
        <v>741</v>
      </c>
      <c r="D13" s="1141">
        <f>R.HN!$C$13</f>
        <v>4</v>
      </c>
      <c r="E13" s="3870" t="s">
        <v>429</v>
      </c>
      <c r="F13" s="625" t="s">
        <v>727</v>
      </c>
      <c r="G13" s="626">
        <v>50</v>
      </c>
      <c r="H13" s="627" t="e">
        <f>R.HN!#REF!</f>
        <v>#REF!</v>
      </c>
      <c r="I13" s="300">
        <f>'R.GUI MAIL'!H11</f>
        <v>0</v>
      </c>
      <c r="J13" s="654"/>
      <c r="K13" s="630" t="s">
        <v>8</v>
      </c>
      <c r="L13" s="1138">
        <f>'R.GUI MAIL'!K11</f>
        <v>0</v>
      </c>
      <c r="M13" s="631" t="s">
        <v>9</v>
      </c>
      <c r="N13" s="628" t="e">
        <f>R.HN!#REF!</f>
        <v>#REF!</v>
      </c>
      <c r="O13" s="633"/>
      <c r="P13" s="633"/>
      <c r="Q13" s="634"/>
      <c r="R13" s="1137"/>
      <c r="S13" s="635"/>
      <c r="T13" s="628"/>
      <c r="U13" s="633"/>
      <c r="V13" s="633"/>
      <c r="W13" s="634"/>
      <c r="X13" s="1137"/>
      <c r="Y13" s="635"/>
    </row>
    <row r="14" spans="1:25" ht="30.75" hidden="1" customHeight="1">
      <c r="A14" s="623">
        <v>8</v>
      </c>
      <c r="B14" s="3868"/>
      <c r="C14" s="1142"/>
      <c r="D14" s="1143"/>
      <c r="E14" s="3870"/>
      <c r="F14" s="625" t="s">
        <v>723</v>
      </c>
      <c r="G14" s="637">
        <v>6</v>
      </c>
      <c r="H14" s="627" t="e">
        <f>R.HN!#REF!</f>
        <v>#REF!</v>
      </c>
      <c r="I14" s="300">
        <f>'R.GUI MAIL'!H12</f>
        <v>0</v>
      </c>
      <c r="J14" s="629"/>
      <c r="K14" s="630" t="s">
        <v>8</v>
      </c>
      <c r="L14" s="1138">
        <f>'R.GUI MAIL'!K12</f>
        <v>0</v>
      </c>
      <c r="M14" s="631" t="s">
        <v>9</v>
      </c>
      <c r="N14" s="628" t="e">
        <f>R.HN!#REF!</f>
        <v>#REF!</v>
      </c>
      <c r="O14" s="633"/>
      <c r="P14" s="633"/>
      <c r="Q14" s="634"/>
      <c r="R14" s="1137"/>
      <c r="S14" s="635"/>
      <c r="T14" s="628"/>
      <c r="U14" s="633"/>
      <c r="V14" s="633"/>
      <c r="W14" s="634"/>
      <c r="X14" s="1137"/>
      <c r="Y14" s="635"/>
    </row>
    <row r="15" spans="1:25" ht="30.75" hidden="1" customHeight="1">
      <c r="A15" s="623">
        <v>9</v>
      </c>
      <c r="B15" s="3868"/>
      <c r="C15" s="1142"/>
      <c r="D15" s="1143"/>
      <c r="E15" s="3870"/>
      <c r="F15" s="625" t="s">
        <v>611</v>
      </c>
      <c r="G15" s="637">
        <v>0.4</v>
      </c>
      <c r="H15" s="627" t="e">
        <f>R.HN!#REF!</f>
        <v>#REF!</v>
      </c>
      <c r="I15" s="412">
        <f>'R.GUI MAIL'!H13</f>
        <v>0</v>
      </c>
      <c r="J15" s="654"/>
      <c r="K15" s="630" t="s">
        <v>8</v>
      </c>
      <c r="L15" s="1138">
        <f>'R.GUI MAIL'!K13</f>
        <v>0</v>
      </c>
      <c r="M15" s="631" t="s">
        <v>9</v>
      </c>
      <c r="N15" s="628" t="e">
        <f>R.HN!#REF!</f>
        <v>#REF!</v>
      </c>
      <c r="O15" s="642"/>
      <c r="P15" s="642"/>
      <c r="Q15" s="643"/>
      <c r="R15" s="1137"/>
      <c r="S15" s="644"/>
      <c r="T15" s="641"/>
      <c r="U15" s="642"/>
      <c r="V15" s="642"/>
      <c r="W15" s="643"/>
      <c r="X15" s="1137"/>
      <c r="Y15" s="644"/>
    </row>
    <row r="16" spans="1:25" ht="30.75" customHeight="1">
      <c r="A16" s="623">
        <v>10</v>
      </c>
      <c r="B16" s="3864" t="s">
        <v>742</v>
      </c>
      <c r="C16" s="3865"/>
      <c r="D16" s="3866"/>
      <c r="E16" s="623" t="s">
        <v>429</v>
      </c>
      <c r="F16" s="645" t="s">
        <v>439</v>
      </c>
      <c r="G16" s="637">
        <v>2</v>
      </c>
      <c r="H16" s="627">
        <f>R.HN!C21</f>
        <v>1</v>
      </c>
      <c r="I16" s="300">
        <f>'R.GUI MAIL'!H14</f>
        <v>0</v>
      </c>
      <c r="J16" s="629"/>
      <c r="K16" s="630" t="s">
        <v>8</v>
      </c>
      <c r="L16" s="1138">
        <f>'R.GUI MAIL'!K14</f>
        <v>0</v>
      </c>
      <c r="M16" s="631" t="s">
        <v>9</v>
      </c>
      <c r="N16" s="628">
        <f>R.HN!D21</f>
        <v>0.9</v>
      </c>
      <c r="O16" s="300">
        <f>'R.GUI MAIL'!H30</f>
        <v>1</v>
      </c>
      <c r="P16" s="629"/>
      <c r="Q16" s="630" t="s">
        <v>8</v>
      </c>
      <c r="R16" s="1138">
        <f>'R.GUI MAIL'!K30</f>
        <v>0</v>
      </c>
      <c r="S16" s="631" t="s">
        <v>9</v>
      </c>
      <c r="T16" s="628"/>
      <c r="U16" s="300">
        <f>'R.GUI MAIL'!H46</f>
        <v>0</v>
      </c>
      <c r="V16" s="629"/>
      <c r="W16" s="630" t="s">
        <v>8</v>
      </c>
      <c r="X16" s="1138">
        <f>'R.GUI MAIL'!K46</f>
        <v>0</v>
      </c>
      <c r="Y16" s="631" t="str">
        <f>'R.GUI MAIL'!L46</f>
        <v>kg</v>
      </c>
    </row>
    <row r="17" spans="1:25" ht="30.75" customHeight="1">
      <c r="A17" s="623">
        <v>11</v>
      </c>
      <c r="B17" s="3879"/>
      <c r="C17" s="3880"/>
      <c r="D17" s="3881"/>
      <c r="E17" s="623" t="s">
        <v>5</v>
      </c>
      <c r="F17" s="1144" t="s">
        <v>617</v>
      </c>
      <c r="G17" s="646">
        <v>9</v>
      </c>
      <c r="H17" s="627">
        <f>R.HN!C22</f>
        <v>10</v>
      </c>
      <c r="I17" s="300">
        <f>'R.GUI MAIL'!H15</f>
        <v>0</v>
      </c>
      <c r="J17" s="629"/>
      <c r="K17" s="630" t="s">
        <v>8</v>
      </c>
      <c r="L17" s="1138">
        <f>'R.GUI MAIL'!K15</f>
        <v>0</v>
      </c>
      <c r="M17" s="631"/>
      <c r="N17" s="628">
        <f>R.HN!D22</f>
        <v>10</v>
      </c>
      <c r="O17" s="300">
        <f>'R.GUI MAIL'!H31</f>
        <v>10</v>
      </c>
      <c r="P17" s="629"/>
      <c r="Q17" s="630"/>
      <c r="R17" s="1138">
        <f>'R.GUI MAIL'!K31</f>
        <v>0</v>
      </c>
      <c r="S17" s="631"/>
      <c r="T17" s="628"/>
      <c r="U17" s="300">
        <f>'R.GUI MAIL'!H47</f>
        <v>0</v>
      </c>
      <c r="V17" s="629"/>
      <c r="W17" s="630" t="s">
        <v>8</v>
      </c>
      <c r="X17" s="1138">
        <f>'R.GUI MAIL'!K47</f>
        <v>0</v>
      </c>
      <c r="Y17" s="631"/>
    </row>
    <row r="18" spans="1:25" ht="30.75" customHeight="1">
      <c r="A18" s="647"/>
      <c r="B18" s="1818"/>
      <c r="C18" s="648"/>
      <c r="D18" s="648"/>
      <c r="E18" s="648" t="s">
        <v>2</v>
      </c>
      <c r="F18" s="648"/>
      <c r="G18" s="648"/>
      <c r="H18" s="648"/>
      <c r="I18" s="648"/>
      <c r="J18" s="648"/>
      <c r="K18" s="648"/>
      <c r="L18" s="648"/>
      <c r="M18" s="648"/>
      <c r="N18" s="648"/>
      <c r="O18" s="648"/>
      <c r="P18" s="648"/>
      <c r="Q18" s="648"/>
      <c r="R18" s="648"/>
      <c r="S18" s="648"/>
      <c r="T18" s="648"/>
      <c r="U18" s="648"/>
      <c r="V18" s="648"/>
      <c r="W18" s="648"/>
      <c r="X18" s="648"/>
      <c r="Y18" s="1145"/>
    </row>
    <row r="19" spans="1:25" ht="30.75" customHeight="1">
      <c r="A19" s="649" t="s">
        <v>53</v>
      </c>
      <c r="B19" s="3861" t="s">
        <v>743</v>
      </c>
      <c r="C19" s="3862"/>
      <c r="D19" s="3863"/>
      <c r="E19" s="650" t="s">
        <v>744</v>
      </c>
      <c r="F19" s="650" t="s">
        <v>745</v>
      </c>
      <c r="G19" s="651" t="s">
        <v>736</v>
      </c>
      <c r="H19" s="652"/>
      <c r="I19" s="3871" t="s">
        <v>45</v>
      </c>
      <c r="J19" s="3872"/>
      <c r="K19" s="3872"/>
      <c r="L19" s="3873" t="s">
        <v>61</v>
      </c>
      <c r="M19" s="3874"/>
      <c r="N19" s="617"/>
      <c r="O19" s="3871" t="s">
        <v>45</v>
      </c>
      <c r="P19" s="3872"/>
      <c r="Q19" s="3872"/>
      <c r="R19" s="3873" t="s">
        <v>61</v>
      </c>
      <c r="S19" s="3874"/>
      <c r="T19" s="617"/>
      <c r="U19" s="3871" t="s">
        <v>45</v>
      </c>
      <c r="V19" s="3872"/>
      <c r="W19" s="3872"/>
      <c r="X19" s="3873" t="s">
        <v>61</v>
      </c>
      <c r="Y19" s="3874"/>
    </row>
    <row r="20" spans="1:25" ht="30.75" customHeight="1">
      <c r="A20" s="649">
        <v>1</v>
      </c>
      <c r="B20" s="3861" t="s">
        <v>746</v>
      </c>
      <c r="C20" s="3862"/>
      <c r="D20" s="3863"/>
      <c r="E20" s="653" t="s">
        <v>747</v>
      </c>
      <c r="F20" s="645" t="s">
        <v>1097</v>
      </c>
      <c r="G20" s="651"/>
      <c r="H20" s="652"/>
      <c r="I20" s="3875"/>
      <c r="J20" s="3876"/>
      <c r="K20" s="3876"/>
      <c r="L20" s="3876"/>
      <c r="M20" s="3877"/>
      <c r="N20" s="1483"/>
      <c r="O20" s="3878">
        <f>'R.GUI MAIL'!H34</f>
        <v>0</v>
      </c>
      <c r="P20" s="3878"/>
      <c r="Q20" s="3878"/>
      <c r="R20" s="3878">
        <f>'R.GUI MAIL'!K34</f>
        <v>62</v>
      </c>
      <c r="S20" s="3878"/>
      <c r="T20" s="3878"/>
      <c r="U20" s="3878">
        <f>'R.GUI MAIL'!H50</f>
        <v>0</v>
      </c>
      <c r="V20" s="3878"/>
      <c r="W20" s="3878"/>
      <c r="X20" s="3878">
        <f>'R.GUI MAIL'!K50</f>
        <v>0</v>
      </c>
      <c r="Y20" s="3878"/>
    </row>
    <row r="21" spans="1:25" ht="30.75" customHeight="1">
      <c r="A21" s="649">
        <v>2</v>
      </c>
      <c r="B21" s="3861" t="s">
        <v>748</v>
      </c>
      <c r="C21" s="3862"/>
      <c r="D21" s="3863"/>
      <c r="E21" s="653" t="s">
        <v>747</v>
      </c>
      <c r="F21" s="645" t="s">
        <v>749</v>
      </c>
      <c r="G21" s="654" t="str">
        <f>'[8]file goc'!G62</f>
        <v>7:00</v>
      </c>
      <c r="H21" s="654"/>
      <c r="I21" s="3882">
        <f>'R.GUI MAIL'!H18</f>
        <v>0</v>
      </c>
      <c r="J21" s="3884"/>
      <c r="K21" s="3884"/>
      <c r="L21" s="3882">
        <f>'R.GUI MAIL'!K18</f>
        <v>0</v>
      </c>
      <c r="M21" s="3884"/>
      <c r="N21" s="1484"/>
      <c r="O21" s="3882">
        <f>'R.GUI MAIL'!H35</f>
        <v>0</v>
      </c>
      <c r="P21" s="3884"/>
      <c r="Q21" s="3884"/>
      <c r="R21" s="3882">
        <f>'R.GUI MAIL'!K35</f>
        <v>66</v>
      </c>
      <c r="S21" s="3883"/>
      <c r="T21" s="1483"/>
      <c r="U21" s="3882">
        <f>'R.GUI MAIL'!H51</f>
        <v>0</v>
      </c>
      <c r="V21" s="3884"/>
      <c r="W21" s="3883"/>
      <c r="X21" s="3882">
        <f>'R.GUI MAIL'!K51</f>
        <v>0</v>
      </c>
      <c r="Y21" s="3883"/>
    </row>
    <row r="22" spans="1:25" ht="30.75" hidden="1" customHeight="1">
      <c r="A22" s="649">
        <v>3</v>
      </c>
      <c r="B22" s="3861" t="s">
        <v>750</v>
      </c>
      <c r="C22" s="3862"/>
      <c r="D22" s="3863"/>
      <c r="E22" s="653" t="s">
        <v>747</v>
      </c>
      <c r="F22" s="645" t="s">
        <v>749</v>
      </c>
      <c r="G22" s="655" t="str">
        <f>'[8]file goc'!G63</f>
        <v>濃度 g/L</v>
      </c>
      <c r="H22" s="654"/>
      <c r="I22" s="3882">
        <f>'R.GUI MAIL'!H19</f>
        <v>0</v>
      </c>
      <c r="J22" s="3884"/>
      <c r="K22" s="3884"/>
      <c r="L22" s="3882">
        <f>'R.GUI MAIL'!K19</f>
        <v>0</v>
      </c>
      <c r="M22" s="3884"/>
      <c r="N22" s="1483"/>
      <c r="O22" s="1485"/>
      <c r="P22" s="1486"/>
      <c r="Q22" s="1486"/>
      <c r="R22" s="1487"/>
      <c r="S22" s="1488"/>
      <c r="T22" s="1483"/>
      <c r="U22" s="1489"/>
      <c r="V22" s="1489"/>
      <c r="W22" s="1489"/>
      <c r="X22" s="1489"/>
      <c r="Y22" s="1489"/>
    </row>
    <row r="23" spans="1:25" ht="30.75" customHeight="1">
      <c r="A23" s="649">
        <v>6</v>
      </c>
      <c r="B23" s="3861" t="s">
        <v>751</v>
      </c>
      <c r="C23" s="3862"/>
      <c r="D23" s="3863"/>
      <c r="E23" s="653" t="s">
        <v>747</v>
      </c>
      <c r="F23" s="645" t="s">
        <v>752</v>
      </c>
      <c r="G23" s="655">
        <f>'[8]file goc'!G66</f>
        <v>0</v>
      </c>
      <c r="H23" s="654"/>
      <c r="I23" s="3882">
        <f>'R.GUI MAIL'!H20</f>
        <v>0</v>
      </c>
      <c r="J23" s="3884"/>
      <c r="K23" s="3884"/>
      <c r="L23" s="3882">
        <f>'R.GUI MAIL'!K20</f>
        <v>0</v>
      </c>
      <c r="M23" s="3884"/>
      <c r="N23" s="1483"/>
      <c r="O23" s="3882">
        <f>'R.GUI MAIL'!H36</f>
        <v>0</v>
      </c>
      <c r="P23" s="3884"/>
      <c r="Q23" s="3884"/>
      <c r="R23" s="3882">
        <f>'R.GUI MAIL'!K36</f>
        <v>84</v>
      </c>
      <c r="S23" s="3883"/>
      <c r="T23" s="1483"/>
      <c r="U23" s="3882">
        <f>'R.GUI MAIL'!H52</f>
        <v>0</v>
      </c>
      <c r="V23" s="3884"/>
      <c r="W23" s="3883"/>
      <c r="X23" s="3882">
        <f>'R.GUI MAIL'!K52</f>
        <v>0</v>
      </c>
      <c r="Y23" s="3883"/>
    </row>
    <row r="24" spans="1:25" s="614" customFormat="1" ht="30.75" customHeight="1">
      <c r="A24" s="3885" t="s">
        <v>1449</v>
      </c>
      <c r="B24" s="3886"/>
      <c r="C24" s="3858" t="str">
        <f>MENU!$AC$9</f>
        <v>Thứ 5,</v>
      </c>
      <c r="D24" s="3858"/>
      <c r="E24" s="3859" t="str">
        <f>MENU!$AD$9</f>
        <v>2024/08/01</v>
      </c>
      <c r="F24" s="3860"/>
      <c r="G24" s="3860"/>
      <c r="H24" s="3860"/>
      <c r="I24" s="1995" t="s">
        <v>732</v>
      </c>
      <c r="J24" s="1995"/>
      <c r="K24" s="1995"/>
      <c r="L24" s="1995"/>
      <c r="M24" s="1995"/>
      <c r="N24" s="1995"/>
      <c r="O24" s="1995"/>
      <c r="P24" s="1995"/>
      <c r="Q24" s="1995"/>
      <c r="R24" s="1995"/>
      <c r="S24" s="1995"/>
      <c r="T24" s="1995"/>
      <c r="U24" s="1995"/>
      <c r="V24" s="1995"/>
      <c r="W24" s="1995"/>
      <c r="X24" s="1995"/>
      <c r="Y24" s="1996"/>
    </row>
    <row r="25" spans="1:25" ht="30.75" customHeight="1">
      <c r="A25" s="3838" t="s">
        <v>7</v>
      </c>
      <c r="B25" s="3841" t="s">
        <v>733</v>
      </c>
      <c r="C25" s="3842"/>
      <c r="D25" s="3843"/>
      <c r="E25" s="3850" t="s">
        <v>734</v>
      </c>
      <c r="F25" s="3853" t="s">
        <v>735</v>
      </c>
      <c r="G25" s="615"/>
      <c r="H25" s="616"/>
      <c r="I25" s="3856" t="s">
        <v>736</v>
      </c>
      <c r="J25" s="3857"/>
      <c r="K25" s="3857"/>
      <c r="L25" s="3857"/>
      <c r="M25" s="3857"/>
      <c r="N25" s="617"/>
      <c r="O25" s="3856" t="s">
        <v>1279</v>
      </c>
      <c r="P25" s="3857"/>
      <c r="Q25" s="3857"/>
      <c r="R25" s="3857"/>
      <c r="S25" s="3857"/>
      <c r="T25" s="617"/>
      <c r="U25" s="3856" t="s">
        <v>1280</v>
      </c>
      <c r="V25" s="3857"/>
      <c r="W25" s="3857"/>
      <c r="X25" s="3857"/>
      <c r="Y25" s="3857"/>
    </row>
    <row r="26" spans="1:25" ht="30.75" customHeight="1">
      <c r="A26" s="3839"/>
      <c r="B26" s="3844"/>
      <c r="C26" s="3845"/>
      <c r="D26" s="3846"/>
      <c r="E26" s="3851"/>
      <c r="F26" s="3854"/>
      <c r="G26" s="618" t="s">
        <v>420</v>
      </c>
      <c r="H26" s="619"/>
      <c r="I26" s="3829" t="s">
        <v>737</v>
      </c>
      <c r="J26" s="621" t="s">
        <v>738</v>
      </c>
      <c r="K26" s="3831" t="s">
        <v>1</v>
      </c>
      <c r="L26" s="3831"/>
      <c r="M26" s="3832"/>
      <c r="N26" s="620"/>
      <c r="O26" s="3829" t="s">
        <v>737</v>
      </c>
      <c r="P26" s="621" t="s">
        <v>738</v>
      </c>
      <c r="Q26" s="3831" t="s">
        <v>1</v>
      </c>
      <c r="R26" s="3831"/>
      <c r="S26" s="3832"/>
      <c r="T26" s="619"/>
      <c r="U26" s="3829" t="s">
        <v>737</v>
      </c>
      <c r="V26" s="621" t="s">
        <v>738</v>
      </c>
      <c r="W26" s="3831" t="s">
        <v>1</v>
      </c>
      <c r="X26" s="3831"/>
      <c r="Y26" s="3832"/>
    </row>
    <row r="27" spans="1:25" ht="30.75" customHeight="1">
      <c r="A27" s="3840"/>
      <c r="B27" s="3847"/>
      <c r="C27" s="3848"/>
      <c r="D27" s="3849"/>
      <c r="E27" s="3852"/>
      <c r="F27" s="3855"/>
      <c r="G27" s="618"/>
      <c r="H27" s="619"/>
      <c r="I27" s="3830"/>
      <c r="J27" s="622"/>
      <c r="K27" s="3833"/>
      <c r="L27" s="3833"/>
      <c r="M27" s="3834"/>
      <c r="N27" s="620"/>
      <c r="O27" s="3830"/>
      <c r="P27" s="622"/>
      <c r="Q27" s="3833"/>
      <c r="R27" s="3833"/>
      <c r="S27" s="3834"/>
      <c r="T27" s="619"/>
      <c r="U27" s="3830"/>
      <c r="V27" s="622"/>
      <c r="W27" s="3833"/>
      <c r="X27" s="3833"/>
      <c r="Y27" s="3834"/>
    </row>
    <row r="28" spans="1:25" ht="30.75" customHeight="1">
      <c r="A28" s="623">
        <v>1</v>
      </c>
      <c r="B28" s="3861" t="s">
        <v>739</v>
      </c>
      <c r="C28" s="3862"/>
      <c r="D28" s="3863"/>
      <c r="E28" s="624" t="s">
        <v>429</v>
      </c>
      <c r="F28" s="625" t="s">
        <v>725</v>
      </c>
      <c r="G28" s="626">
        <v>40</v>
      </c>
      <c r="H28" s="627" t="e">
        <f>R.HN!#REF!</f>
        <v>#REF!</v>
      </c>
      <c r="I28" s="633"/>
      <c r="J28" s="633"/>
      <c r="K28" s="634"/>
      <c r="L28" s="1137"/>
      <c r="M28" s="635"/>
      <c r="N28" s="628" t="e">
        <f>R.HN!#REF!</f>
        <v>#REF!</v>
      </c>
      <c r="O28" s="300">
        <f>'R.GUI MAIL'!N25</f>
        <v>40</v>
      </c>
      <c r="P28" s="629"/>
      <c r="Q28" s="630" t="s">
        <v>8</v>
      </c>
      <c r="R28" s="1138">
        <f>'R.GUI MAIL'!Q25</f>
        <v>0</v>
      </c>
      <c r="S28" s="631" t="s">
        <v>9</v>
      </c>
      <c r="T28" s="628"/>
      <c r="U28" s="300">
        <f>'R.GUI MAIL'!N41</f>
        <v>0</v>
      </c>
      <c r="V28" s="629"/>
      <c r="W28" s="630" t="s">
        <v>8</v>
      </c>
      <c r="X28" s="1139">
        <f>'R.GUI MAIL'!Q41</f>
        <v>0</v>
      </c>
      <c r="Y28" s="631" t="s">
        <v>9</v>
      </c>
    </row>
    <row r="29" spans="1:25" ht="30.75" customHeight="1">
      <c r="A29" s="623">
        <v>2</v>
      </c>
      <c r="B29" s="3861" t="s">
        <v>423</v>
      </c>
      <c r="C29" s="3862"/>
      <c r="D29" s="3863"/>
      <c r="E29" s="632" t="s">
        <v>3</v>
      </c>
      <c r="F29" s="625" t="s">
        <v>424</v>
      </c>
      <c r="G29" s="626">
        <v>22</v>
      </c>
      <c r="H29" s="627" t="e">
        <f>R.HN!#REF!</f>
        <v>#REF!</v>
      </c>
      <c r="I29" s="300">
        <f>'R.GUI MAIL'!N6</f>
        <v>0</v>
      </c>
      <c r="J29" s="629"/>
      <c r="K29" s="630" t="s">
        <v>8</v>
      </c>
      <c r="L29" s="1138">
        <f>'R.GUI MAIL'!Q6</f>
        <v>0</v>
      </c>
      <c r="M29" s="631" t="s">
        <v>10</v>
      </c>
      <c r="N29" s="628" t="e">
        <f>R.HN!#REF!</f>
        <v>#REF!</v>
      </c>
      <c r="O29" s="300">
        <f>'R.GUI MAIL'!N26</f>
        <v>11.315000000000001</v>
      </c>
      <c r="P29" s="629"/>
      <c r="Q29" s="630" t="s">
        <v>8</v>
      </c>
      <c r="R29" s="1138">
        <f>'R.GUI MAIL'!Q26</f>
        <v>96.466406249999892</v>
      </c>
      <c r="S29" s="631" t="s">
        <v>10</v>
      </c>
      <c r="T29" s="628"/>
      <c r="U29" s="300">
        <f>'R.GUI MAIL'!N42</f>
        <v>0</v>
      </c>
      <c r="V29" s="629"/>
      <c r="W29" s="630" t="s">
        <v>8</v>
      </c>
      <c r="X29" s="1138">
        <f>'R.GUI MAIL'!Q42</f>
        <v>0</v>
      </c>
      <c r="Y29" s="631" t="s">
        <v>10</v>
      </c>
    </row>
    <row r="30" spans="1:25" ht="30.75" hidden="1" customHeight="1">
      <c r="A30" s="623">
        <v>3</v>
      </c>
      <c r="B30" s="3864" t="s">
        <v>389</v>
      </c>
      <c r="C30" s="3865"/>
      <c r="D30" s="3866"/>
      <c r="E30" s="632" t="s">
        <v>3</v>
      </c>
      <c r="F30" s="625" t="s">
        <v>424</v>
      </c>
      <c r="G30" s="626"/>
      <c r="H30" s="627"/>
      <c r="I30" s="1096">
        <f>'R.GUI MAIL'!N7</f>
        <v>0</v>
      </c>
      <c r="J30" s="629"/>
      <c r="K30" s="630" t="s">
        <v>8</v>
      </c>
      <c r="L30" s="1138">
        <f>'R.GUI MAIL'!Q7</f>
        <v>292.1875</v>
      </c>
      <c r="M30" s="631" t="s">
        <v>10</v>
      </c>
      <c r="N30" s="628"/>
      <c r="O30" s="633"/>
      <c r="P30" s="633"/>
      <c r="Q30" s="634"/>
      <c r="R30" s="1137"/>
      <c r="S30" s="635"/>
      <c r="T30" s="636"/>
      <c r="U30" s="1096">
        <f>'R.GUI MAIL'!N42</f>
        <v>0</v>
      </c>
      <c r="V30" s="629"/>
      <c r="W30" s="630" t="s">
        <v>8</v>
      </c>
      <c r="X30" s="1138">
        <f>'R.GUI MAIL'!Q42</f>
        <v>0</v>
      </c>
      <c r="Y30" s="631" t="s">
        <v>10</v>
      </c>
    </row>
    <row r="31" spans="1:25" ht="30.75" customHeight="1">
      <c r="A31" s="623">
        <v>4</v>
      </c>
      <c r="B31" s="3867" t="s">
        <v>740</v>
      </c>
      <c r="C31" s="1140" t="s">
        <v>741</v>
      </c>
      <c r="D31" s="1141">
        <f>R.HN!D12</f>
        <v>3</v>
      </c>
      <c r="E31" s="3870" t="s">
        <v>429</v>
      </c>
      <c r="F31" s="625" t="s">
        <v>727</v>
      </c>
      <c r="G31" s="626">
        <v>50</v>
      </c>
      <c r="H31" s="627">
        <f>R.HN!C27</f>
        <v>0</v>
      </c>
      <c r="I31" s="300">
        <f>'R.GUI MAIL'!N8</f>
        <v>0</v>
      </c>
      <c r="J31" s="629"/>
      <c r="K31" s="630" t="s">
        <v>8</v>
      </c>
      <c r="L31" s="1138">
        <f>'R.GUI MAIL'!Q8</f>
        <v>0</v>
      </c>
      <c r="M31" s="631" t="s">
        <v>9</v>
      </c>
      <c r="N31" s="628">
        <f>R.HN!D27</f>
        <v>0</v>
      </c>
      <c r="O31" s="300">
        <f>'R.GUI MAIL'!N27</f>
        <v>50</v>
      </c>
      <c r="P31" s="629"/>
      <c r="Q31" s="630" t="s">
        <v>8</v>
      </c>
      <c r="R31" s="1138">
        <f>'R.GUI MAIL'!Q27</f>
        <v>0</v>
      </c>
      <c r="S31" s="631" t="s">
        <v>9</v>
      </c>
      <c r="T31" s="628"/>
      <c r="U31" s="300">
        <f>'R.GUI MAIL'!N43</f>
        <v>0</v>
      </c>
      <c r="V31" s="629"/>
      <c r="W31" s="630" t="s">
        <v>8</v>
      </c>
      <c r="X31" s="1138">
        <f>'R.GUI MAIL'!Q43</f>
        <v>0</v>
      </c>
      <c r="Y31" s="631" t="s">
        <v>9</v>
      </c>
    </row>
    <row r="32" spans="1:25" ht="30.75" customHeight="1">
      <c r="A32" s="623">
        <v>5</v>
      </c>
      <c r="B32" s="3868"/>
      <c r="C32" s="1142"/>
      <c r="D32" s="1143"/>
      <c r="E32" s="3870"/>
      <c r="F32" s="625" t="s">
        <v>723</v>
      </c>
      <c r="G32" s="637">
        <v>6</v>
      </c>
      <c r="H32" s="627">
        <f>R.HN!C28</f>
        <v>0</v>
      </c>
      <c r="I32" s="300">
        <f>'R.GUI MAIL'!N9</f>
        <v>0</v>
      </c>
      <c r="J32" s="629"/>
      <c r="K32" s="630" t="s">
        <v>8</v>
      </c>
      <c r="L32" s="1138">
        <f>'R.GUI MAIL'!Q9</f>
        <v>0</v>
      </c>
      <c r="M32" s="631" t="s">
        <v>9</v>
      </c>
      <c r="N32" s="628">
        <f>R.HN!D28</f>
        <v>0</v>
      </c>
      <c r="O32" s="300">
        <f>'R.GUI MAIL'!N28</f>
        <v>8.3333333333333339</v>
      </c>
      <c r="P32" s="629"/>
      <c r="Q32" s="630"/>
      <c r="R32" s="1138">
        <f>'R.GUI MAIL'!Q28</f>
        <v>0</v>
      </c>
      <c r="S32" s="631" t="s">
        <v>9</v>
      </c>
      <c r="T32" s="628"/>
      <c r="U32" s="300">
        <f>'R.GUI MAIL'!N44</f>
        <v>0</v>
      </c>
      <c r="V32" s="629"/>
      <c r="W32" s="630"/>
      <c r="X32" s="1138">
        <f>'R.GUI MAIL'!Q44</f>
        <v>0</v>
      </c>
      <c r="Y32" s="631" t="s">
        <v>9</v>
      </c>
    </row>
    <row r="33" spans="1:25" ht="30.75" customHeight="1">
      <c r="A33" s="623">
        <v>6</v>
      </c>
      <c r="B33" s="3868"/>
      <c r="C33" s="1142"/>
      <c r="D33" s="1143"/>
      <c r="E33" s="3870"/>
      <c r="F33" s="625" t="s">
        <v>611</v>
      </c>
      <c r="G33" s="637">
        <v>0.4</v>
      </c>
      <c r="H33" s="627">
        <f>R.HN!C29</f>
        <v>0</v>
      </c>
      <c r="I33" s="412">
        <f>'R.GUI MAIL'!N10</f>
        <v>0</v>
      </c>
      <c r="J33" s="629"/>
      <c r="K33" s="630" t="s">
        <v>8</v>
      </c>
      <c r="L33" s="1138">
        <f>'R.GUI MAIL'!Q10</f>
        <v>0</v>
      </c>
      <c r="M33" s="631" t="s">
        <v>9</v>
      </c>
      <c r="N33" s="628">
        <f>R.HN!D29</f>
        <v>0</v>
      </c>
      <c r="O33" s="412">
        <f>'R.GUI MAIL'!N29</f>
        <v>0.12</v>
      </c>
      <c r="P33" s="638"/>
      <c r="Q33" s="639"/>
      <c r="R33" s="1138">
        <f>'R.GUI MAIL'!Q29</f>
        <v>0</v>
      </c>
      <c r="S33" s="640" t="s">
        <v>9</v>
      </c>
      <c r="T33" s="641"/>
      <c r="U33" s="412">
        <f>'R.GUI MAIL'!N45</f>
        <v>0</v>
      </c>
      <c r="V33" s="629"/>
      <c r="W33" s="630"/>
      <c r="X33" s="1138">
        <f>'R.GUI MAIL'!Q45</f>
        <v>0</v>
      </c>
      <c r="Y33" s="631" t="s">
        <v>9</v>
      </c>
    </row>
    <row r="34" spans="1:25" ht="30.75" hidden="1" customHeight="1">
      <c r="A34" s="623">
        <v>7</v>
      </c>
      <c r="B34" s="3867" t="s">
        <v>740</v>
      </c>
      <c r="C34" s="1140" t="s">
        <v>741</v>
      </c>
      <c r="D34" s="1141">
        <f>R.HN!D13</f>
        <v>4</v>
      </c>
      <c r="E34" s="3870" t="s">
        <v>429</v>
      </c>
      <c r="F34" s="625" t="s">
        <v>727</v>
      </c>
      <c r="G34" s="626">
        <v>50</v>
      </c>
      <c r="H34" s="627">
        <f>R.HN!C30</f>
        <v>0</v>
      </c>
      <c r="I34" s="300">
        <f>'R.GUI MAIL'!N11</f>
        <v>0</v>
      </c>
      <c r="J34" s="654"/>
      <c r="K34" s="630" t="s">
        <v>8</v>
      </c>
      <c r="L34" s="1138">
        <f>'R.GUI MAIL'!Q11</f>
        <v>0</v>
      </c>
      <c r="M34" s="631" t="s">
        <v>9</v>
      </c>
      <c r="N34" s="628">
        <f>R.HN!D30</f>
        <v>0</v>
      </c>
      <c r="O34" s="633"/>
      <c r="P34" s="633"/>
      <c r="Q34" s="634"/>
      <c r="R34" s="1137"/>
      <c r="S34" s="635"/>
      <c r="T34" s="628"/>
      <c r="U34" s="633"/>
      <c r="V34" s="633"/>
      <c r="W34" s="634"/>
      <c r="X34" s="1137"/>
      <c r="Y34" s="635"/>
    </row>
    <row r="35" spans="1:25" ht="30.75" hidden="1" customHeight="1">
      <c r="A35" s="623">
        <v>8</v>
      </c>
      <c r="B35" s="3868"/>
      <c r="C35" s="1142"/>
      <c r="D35" s="1143"/>
      <c r="E35" s="3870"/>
      <c r="F35" s="625" t="s">
        <v>723</v>
      </c>
      <c r="G35" s="637">
        <v>6</v>
      </c>
      <c r="H35" s="627">
        <f>R.HN!C31</f>
        <v>0</v>
      </c>
      <c r="I35" s="300">
        <f>'R.GUI MAIL'!N12</f>
        <v>0</v>
      </c>
      <c r="J35" s="629"/>
      <c r="K35" s="630" t="s">
        <v>8</v>
      </c>
      <c r="L35" s="1138">
        <f>'R.GUI MAIL'!Q12</f>
        <v>0</v>
      </c>
      <c r="M35" s="631" t="s">
        <v>9</v>
      </c>
      <c r="N35" s="628">
        <f>R.HN!D31</f>
        <v>0</v>
      </c>
      <c r="O35" s="633"/>
      <c r="P35" s="633"/>
      <c r="Q35" s="634"/>
      <c r="R35" s="1137"/>
      <c r="S35" s="635"/>
      <c r="T35" s="628"/>
      <c r="U35" s="633"/>
      <c r="V35" s="633"/>
      <c r="W35" s="634"/>
      <c r="X35" s="1137"/>
      <c r="Y35" s="635"/>
    </row>
    <row r="36" spans="1:25" ht="30.75" hidden="1" customHeight="1">
      <c r="A36" s="623">
        <v>9</v>
      </c>
      <c r="B36" s="3868"/>
      <c r="C36" s="1142"/>
      <c r="D36" s="1143"/>
      <c r="E36" s="3870"/>
      <c r="F36" s="625" t="s">
        <v>611</v>
      </c>
      <c r="G36" s="637">
        <v>0.4</v>
      </c>
      <c r="H36" s="627">
        <f>R.HN!C32</f>
        <v>0</v>
      </c>
      <c r="I36" s="412">
        <f>'R.GUI MAIL'!N13</f>
        <v>0</v>
      </c>
      <c r="J36" s="654"/>
      <c r="K36" s="630" t="s">
        <v>8</v>
      </c>
      <c r="L36" s="1138">
        <f>'R.GUI MAIL'!Q13</f>
        <v>0</v>
      </c>
      <c r="M36" s="631" t="s">
        <v>9</v>
      </c>
      <c r="N36" s="628">
        <f>R.HN!D32</f>
        <v>0</v>
      </c>
      <c r="O36" s="642"/>
      <c r="P36" s="642"/>
      <c r="Q36" s="643"/>
      <c r="R36" s="1137"/>
      <c r="S36" s="644"/>
      <c r="T36" s="641"/>
      <c r="U36" s="642"/>
      <c r="V36" s="642"/>
      <c r="W36" s="643"/>
      <c r="X36" s="1137"/>
      <c r="Y36" s="644"/>
    </row>
    <row r="37" spans="1:25" ht="30.75" customHeight="1">
      <c r="A37" s="623">
        <v>10</v>
      </c>
      <c r="B37" s="3864" t="s">
        <v>742</v>
      </c>
      <c r="C37" s="3865"/>
      <c r="D37" s="3866"/>
      <c r="E37" s="623" t="s">
        <v>429</v>
      </c>
      <c r="F37" s="645" t="s">
        <v>439</v>
      </c>
      <c r="G37" s="637">
        <v>2</v>
      </c>
      <c r="H37" s="627">
        <f>R.HN!C33</f>
        <v>0</v>
      </c>
      <c r="I37" s="300">
        <f>'R.GUI MAIL'!N14</f>
        <v>0</v>
      </c>
      <c r="J37" s="629"/>
      <c r="K37" s="630" t="s">
        <v>8</v>
      </c>
      <c r="L37" s="1146">
        <f>'R.GUI MAIL'!Q14</f>
        <v>0</v>
      </c>
      <c r="M37" s="631" t="s">
        <v>9</v>
      </c>
      <c r="N37" s="628">
        <f>R.HN!D33</f>
        <v>0</v>
      </c>
      <c r="O37" s="300">
        <f>'R.GUI MAIL'!N30</f>
        <v>0.9</v>
      </c>
      <c r="P37" s="629"/>
      <c r="Q37" s="630" t="s">
        <v>8</v>
      </c>
      <c r="R37" s="1138">
        <f>'R.GUI MAIL'!Q30</f>
        <v>0.12339999999999998</v>
      </c>
      <c r="S37" s="631" t="s">
        <v>9</v>
      </c>
      <c r="T37" s="628"/>
      <c r="U37" s="300">
        <f>'R.GUI MAIL'!N46</f>
        <v>0</v>
      </c>
      <c r="V37" s="629"/>
      <c r="W37" s="630" t="s">
        <v>8</v>
      </c>
      <c r="X37" s="1138">
        <f>'R.GUI MAIL'!Q46</f>
        <v>0</v>
      </c>
      <c r="Y37" s="631" t="s">
        <v>9</v>
      </c>
    </row>
    <row r="38" spans="1:25" ht="30.75" customHeight="1">
      <c r="A38" s="623">
        <v>11</v>
      </c>
      <c r="B38" s="3879"/>
      <c r="C38" s="3880"/>
      <c r="D38" s="3881"/>
      <c r="E38" s="624" t="s">
        <v>5</v>
      </c>
      <c r="F38" s="1144" t="s">
        <v>617</v>
      </c>
      <c r="G38" s="656">
        <v>9</v>
      </c>
      <c r="H38" s="657">
        <f>R.HN!C34</f>
        <v>0</v>
      </c>
      <c r="I38" s="300">
        <f>'R.GUI MAIL'!N15</f>
        <v>0</v>
      </c>
      <c r="J38" s="659"/>
      <c r="K38" s="660"/>
      <c r="L38" s="1147"/>
      <c r="M38" s="661"/>
      <c r="N38" s="658">
        <f>R.HN!D34</f>
        <v>0</v>
      </c>
      <c r="O38" s="300">
        <f>'R.GUI MAIL'!N31</f>
        <v>10</v>
      </c>
      <c r="P38" s="659"/>
      <c r="Q38" s="660"/>
      <c r="R38" s="1147"/>
      <c r="S38" s="661"/>
      <c r="T38" s="658"/>
      <c r="U38" s="300">
        <f>'R.GUI MAIL'!N47</f>
        <v>0</v>
      </c>
      <c r="V38" s="659"/>
      <c r="W38" s="660"/>
      <c r="X38" s="1138"/>
      <c r="Y38" s="661"/>
    </row>
    <row r="39" spans="1:25" ht="30.75" customHeight="1">
      <c r="A39" s="647"/>
      <c r="B39" s="1818"/>
      <c r="C39" s="648"/>
      <c r="D39" s="648"/>
      <c r="E39" s="648" t="s">
        <v>2</v>
      </c>
      <c r="F39" s="648"/>
      <c r="G39" s="648"/>
      <c r="H39" s="648"/>
      <c r="I39" s="648"/>
      <c r="J39" s="648"/>
      <c r="K39" s="648"/>
      <c r="L39" s="648"/>
      <c r="M39" s="648"/>
      <c r="N39" s="648"/>
      <c r="O39" s="648"/>
      <c r="P39" s="648"/>
      <c r="Q39" s="648"/>
      <c r="R39" s="648"/>
      <c r="S39" s="648"/>
      <c r="T39" s="648"/>
      <c r="U39" s="648"/>
      <c r="V39" s="648"/>
      <c r="W39" s="648"/>
      <c r="X39" s="648"/>
      <c r="Y39" s="1145"/>
    </row>
    <row r="40" spans="1:25" ht="30.75" customHeight="1">
      <c r="A40" s="649" t="s">
        <v>53</v>
      </c>
      <c r="B40" s="3861" t="s">
        <v>743</v>
      </c>
      <c r="C40" s="3862"/>
      <c r="D40" s="3863"/>
      <c r="E40" s="650" t="s">
        <v>744</v>
      </c>
      <c r="F40" s="650" t="s">
        <v>745</v>
      </c>
      <c r="G40" s="651" t="s">
        <v>736</v>
      </c>
      <c r="H40" s="652"/>
      <c r="I40" s="3871" t="s">
        <v>45</v>
      </c>
      <c r="J40" s="3872"/>
      <c r="K40" s="3872"/>
      <c r="L40" s="3873" t="s">
        <v>61</v>
      </c>
      <c r="M40" s="3874"/>
      <c r="N40" s="617"/>
      <c r="O40" s="3871" t="s">
        <v>45</v>
      </c>
      <c r="P40" s="3872"/>
      <c r="Q40" s="3872"/>
      <c r="R40" s="3873" t="s">
        <v>61</v>
      </c>
      <c r="S40" s="3874"/>
      <c r="T40" s="617"/>
      <c r="U40" s="3871" t="s">
        <v>45</v>
      </c>
      <c r="V40" s="3872"/>
      <c r="W40" s="3872"/>
      <c r="X40" s="3873" t="s">
        <v>61</v>
      </c>
      <c r="Y40" s="3874"/>
    </row>
    <row r="41" spans="1:25" ht="30.75" customHeight="1">
      <c r="A41" s="649">
        <v>1</v>
      </c>
      <c r="B41" s="3861" t="s">
        <v>746</v>
      </c>
      <c r="C41" s="3862"/>
      <c r="D41" s="3863"/>
      <c r="E41" s="653" t="s">
        <v>747</v>
      </c>
      <c r="F41" s="645" t="s">
        <v>1097</v>
      </c>
      <c r="G41" s="651"/>
      <c r="H41" s="652"/>
      <c r="I41" s="1490"/>
      <c r="J41" s="1491"/>
      <c r="K41" s="1491"/>
      <c r="L41" s="1492"/>
      <c r="M41" s="1493"/>
      <c r="N41" s="1494"/>
      <c r="O41" s="3802">
        <f>'R.GUI MAIL'!N34</f>
        <v>0</v>
      </c>
      <c r="P41" s="3802"/>
      <c r="Q41" s="3802"/>
      <c r="R41" s="3802">
        <f>'R.GUI MAIL'!Q34</f>
        <v>60</v>
      </c>
      <c r="S41" s="3802"/>
      <c r="T41" s="3802"/>
      <c r="U41" s="3802">
        <f>'R.GUI MAIL'!N50</f>
        <v>0</v>
      </c>
      <c r="V41" s="3802"/>
      <c r="W41" s="3802"/>
      <c r="X41" s="3802">
        <f>'R.GUI MAIL'!Q50</f>
        <v>0</v>
      </c>
      <c r="Y41" s="3802"/>
    </row>
    <row r="42" spans="1:25" ht="30.75" customHeight="1">
      <c r="A42" s="649">
        <v>2</v>
      </c>
      <c r="B42" s="3861" t="s">
        <v>748</v>
      </c>
      <c r="C42" s="3862"/>
      <c r="D42" s="3863"/>
      <c r="E42" s="653" t="s">
        <v>747</v>
      </c>
      <c r="F42" s="645" t="s">
        <v>749</v>
      </c>
      <c r="G42" s="654" t="e">
        <f>'[8]file goc'!G91</f>
        <v>#REF!</v>
      </c>
      <c r="H42" s="654"/>
      <c r="I42" s="3591">
        <f>'R.GUI MAIL'!N18</f>
        <v>0</v>
      </c>
      <c r="J42" s="3592"/>
      <c r="K42" s="3592"/>
      <c r="L42" s="3591">
        <f>'R.GUI MAIL'!Q18</f>
        <v>0</v>
      </c>
      <c r="M42" s="3592"/>
      <c r="N42" s="1456"/>
      <c r="O42" s="3591">
        <f>'R.GUI MAIL'!N35</f>
        <v>0</v>
      </c>
      <c r="P42" s="3592"/>
      <c r="Q42" s="3592"/>
      <c r="R42" s="3591">
        <f>'R.GUI MAIL'!Q35</f>
        <v>66</v>
      </c>
      <c r="S42" s="3593"/>
      <c r="T42" s="1494"/>
      <c r="U42" s="3591">
        <f>'R.GUI MAIL'!N51</f>
        <v>0</v>
      </c>
      <c r="V42" s="3592"/>
      <c r="W42" s="3593"/>
      <c r="X42" s="3591">
        <f>'R.GUI MAIL'!Q51</f>
        <v>0</v>
      </c>
      <c r="Y42" s="3593"/>
    </row>
    <row r="43" spans="1:25" ht="30.75" hidden="1" customHeight="1">
      <c r="A43" s="649">
        <v>3</v>
      </c>
      <c r="B43" s="3861" t="s">
        <v>750</v>
      </c>
      <c r="C43" s="3862"/>
      <c r="D43" s="3863"/>
      <c r="E43" s="653" t="s">
        <v>747</v>
      </c>
      <c r="F43" s="645" t="s">
        <v>749</v>
      </c>
      <c r="G43" s="655" t="str">
        <f>'[8]file goc'!G92</f>
        <v>7:00</v>
      </c>
      <c r="H43" s="654"/>
      <c r="I43" s="3591">
        <f>'R.GUI MAIL'!N19</f>
        <v>0</v>
      </c>
      <c r="J43" s="3592"/>
      <c r="K43" s="3592"/>
      <c r="L43" s="3591">
        <f>'R.GUI MAIL'!Q19</f>
        <v>0</v>
      </c>
      <c r="M43" s="3593"/>
      <c r="N43" s="1494"/>
      <c r="O43" s="1495"/>
      <c r="P43" s="1496"/>
      <c r="Q43" s="1496"/>
      <c r="R43" s="1497"/>
      <c r="S43" s="1498"/>
      <c r="T43" s="1494"/>
      <c r="U43" s="1499"/>
      <c r="V43" s="1499"/>
      <c r="W43" s="1499"/>
      <c r="X43" s="1499"/>
      <c r="Y43" s="1499"/>
    </row>
    <row r="44" spans="1:25" ht="30.75" customHeight="1">
      <c r="A44" s="649">
        <v>6</v>
      </c>
      <c r="B44" s="3861" t="s">
        <v>751</v>
      </c>
      <c r="C44" s="3862"/>
      <c r="D44" s="3863"/>
      <c r="E44" s="653" t="s">
        <v>747</v>
      </c>
      <c r="F44" s="645" t="s">
        <v>752</v>
      </c>
      <c r="G44" s="655">
        <f>'[8]file goc'!G95</f>
        <v>0</v>
      </c>
      <c r="H44" s="654"/>
      <c r="I44" s="3591">
        <f>'R.GUI MAIL'!N20</f>
        <v>0</v>
      </c>
      <c r="J44" s="3592"/>
      <c r="K44" s="3592"/>
      <c r="L44" s="3591">
        <f>'R.GUI MAIL'!Q20</f>
        <v>0</v>
      </c>
      <c r="M44" s="3593"/>
      <c r="N44" s="1494"/>
      <c r="O44" s="3591">
        <f>'R.GUI MAIL'!N36</f>
        <v>0</v>
      </c>
      <c r="P44" s="3592"/>
      <c r="Q44" s="3592"/>
      <c r="R44" s="3591">
        <f>'R.GUI MAIL'!Q36</f>
        <v>83</v>
      </c>
      <c r="S44" s="3593"/>
      <c r="T44" s="1494"/>
      <c r="U44" s="3591">
        <f>'R.GUI MAIL'!N52</f>
        <v>0</v>
      </c>
      <c r="V44" s="3592"/>
      <c r="W44" s="3593"/>
      <c r="X44" s="3591">
        <f>'R.GUI MAIL'!Q52</f>
        <v>0</v>
      </c>
      <c r="Y44" s="3593"/>
    </row>
    <row r="45" spans="1:25" s="614" customFormat="1" ht="30.75" customHeight="1">
      <c r="A45" s="3885" t="s">
        <v>1455</v>
      </c>
      <c r="B45" s="3886"/>
      <c r="C45" s="3858" t="str">
        <f>MENU!$AC$9</f>
        <v>Thứ 5,</v>
      </c>
      <c r="D45" s="3858"/>
      <c r="E45" s="3859" t="str">
        <f>MENU!$AD$9</f>
        <v>2024/08/01</v>
      </c>
      <c r="F45" s="3860"/>
      <c r="G45" s="3860"/>
      <c r="H45" s="3860"/>
      <c r="I45" s="1995" t="s">
        <v>732</v>
      </c>
      <c r="J45" s="1995"/>
      <c r="K45" s="1995"/>
      <c r="L45" s="1995"/>
      <c r="M45" s="1995"/>
      <c r="N45" s="1995"/>
      <c r="O45" s="1995"/>
      <c r="P45" s="1995"/>
      <c r="Q45" s="1995"/>
      <c r="R45" s="1995"/>
      <c r="S45" s="1995"/>
      <c r="T45" s="1995"/>
      <c r="U45" s="1995"/>
      <c r="V45" s="1995"/>
      <c r="W45" s="1995"/>
      <c r="X45" s="1995"/>
      <c r="Y45" s="1996"/>
    </row>
    <row r="46" spans="1:25" ht="30.75" customHeight="1">
      <c r="A46" s="3838" t="s">
        <v>7</v>
      </c>
      <c r="B46" s="3841" t="s">
        <v>733</v>
      </c>
      <c r="C46" s="3842"/>
      <c r="D46" s="3843"/>
      <c r="E46" s="3850" t="s">
        <v>734</v>
      </c>
      <c r="F46" s="3853" t="s">
        <v>735</v>
      </c>
      <c r="G46" s="615"/>
      <c r="H46" s="616"/>
      <c r="I46" s="3856" t="s">
        <v>736</v>
      </c>
      <c r="J46" s="3857"/>
      <c r="K46" s="3857"/>
      <c r="L46" s="3857"/>
      <c r="M46" s="3857"/>
      <c r="N46" s="617"/>
      <c r="O46" s="3856" t="s">
        <v>1279</v>
      </c>
      <c r="P46" s="3857"/>
      <c r="Q46" s="3857"/>
      <c r="R46" s="3857"/>
      <c r="S46" s="3857"/>
      <c r="T46" s="617"/>
      <c r="U46" s="3856" t="s">
        <v>1280</v>
      </c>
      <c r="V46" s="3857"/>
      <c r="W46" s="3857"/>
      <c r="X46" s="3857"/>
      <c r="Y46" s="3857"/>
    </row>
    <row r="47" spans="1:25" ht="30.75" customHeight="1">
      <c r="A47" s="3839"/>
      <c r="B47" s="3844"/>
      <c r="C47" s="3845"/>
      <c r="D47" s="3846"/>
      <c r="E47" s="3851"/>
      <c r="F47" s="3854"/>
      <c r="G47" s="618" t="s">
        <v>420</v>
      </c>
      <c r="H47" s="619"/>
      <c r="I47" s="3829" t="s">
        <v>737</v>
      </c>
      <c r="J47" s="621" t="s">
        <v>738</v>
      </c>
      <c r="K47" s="3831" t="s">
        <v>1</v>
      </c>
      <c r="L47" s="3831"/>
      <c r="M47" s="3832"/>
      <c r="N47" s="620"/>
      <c r="O47" s="3829" t="s">
        <v>737</v>
      </c>
      <c r="P47" s="621" t="s">
        <v>738</v>
      </c>
      <c r="Q47" s="3831" t="s">
        <v>1</v>
      </c>
      <c r="R47" s="3831"/>
      <c r="S47" s="3832"/>
      <c r="T47" s="619"/>
      <c r="U47" s="3829" t="s">
        <v>737</v>
      </c>
      <c r="V47" s="621" t="s">
        <v>738</v>
      </c>
      <c r="W47" s="3831" t="s">
        <v>1</v>
      </c>
      <c r="X47" s="3831"/>
      <c r="Y47" s="3832"/>
    </row>
    <row r="48" spans="1:25" ht="30.75" customHeight="1">
      <c r="A48" s="3840"/>
      <c r="B48" s="3847"/>
      <c r="C48" s="3848"/>
      <c r="D48" s="3849"/>
      <c r="E48" s="3852"/>
      <c r="F48" s="3855"/>
      <c r="G48" s="618"/>
      <c r="H48" s="619"/>
      <c r="I48" s="3830"/>
      <c r="J48" s="622"/>
      <c r="K48" s="3833"/>
      <c r="L48" s="3833"/>
      <c r="M48" s="3834"/>
      <c r="N48" s="620"/>
      <c r="O48" s="3830"/>
      <c r="P48" s="622"/>
      <c r="Q48" s="3833"/>
      <c r="R48" s="3833"/>
      <c r="S48" s="3834"/>
      <c r="T48" s="619"/>
      <c r="U48" s="3830"/>
      <c r="V48" s="622"/>
      <c r="W48" s="3833"/>
      <c r="X48" s="3833"/>
      <c r="Y48" s="3834"/>
    </row>
    <row r="49" spans="1:25" ht="30.75" customHeight="1">
      <c r="A49" s="623">
        <v>1</v>
      </c>
      <c r="B49" s="3861" t="s">
        <v>739</v>
      </c>
      <c r="C49" s="3862"/>
      <c r="D49" s="3863"/>
      <c r="E49" s="624" t="s">
        <v>429</v>
      </c>
      <c r="F49" s="625" t="s">
        <v>725</v>
      </c>
      <c r="G49" s="626">
        <v>40</v>
      </c>
      <c r="H49" s="627">
        <f>R.HN!C52</f>
        <v>1.44</v>
      </c>
      <c r="I49" s="633"/>
      <c r="J49" s="633"/>
      <c r="K49" s="634"/>
      <c r="L49" s="1137"/>
      <c r="M49" s="635"/>
      <c r="N49" s="628">
        <f>R.HN!D52</f>
        <v>1.56</v>
      </c>
      <c r="O49" s="300">
        <f>'R.GUI MAIL'!T25</f>
        <v>38</v>
      </c>
      <c r="P49" s="629"/>
      <c r="Q49" s="630" t="s">
        <v>8</v>
      </c>
      <c r="R49" s="1138">
        <f>'R.GUI MAIL'!W25</f>
        <v>4.66</v>
      </c>
      <c r="S49" s="631" t="s">
        <v>9</v>
      </c>
      <c r="T49" s="628"/>
      <c r="U49" s="300">
        <f>'R.GUI MAIL'!T41</f>
        <v>0</v>
      </c>
      <c r="V49" s="629"/>
      <c r="W49" s="630" t="s">
        <v>8</v>
      </c>
      <c r="X49" s="1139">
        <f>'R.GUI MAIL'!W41</f>
        <v>0</v>
      </c>
      <c r="Y49" s="631" t="s">
        <v>9</v>
      </c>
    </row>
    <row r="50" spans="1:25" ht="30.75" customHeight="1">
      <c r="A50" s="623">
        <v>2</v>
      </c>
      <c r="B50" s="3861" t="s">
        <v>423</v>
      </c>
      <c r="C50" s="3862"/>
      <c r="D50" s="3863"/>
      <c r="E50" s="632" t="s">
        <v>3</v>
      </c>
      <c r="F50" s="625" t="s">
        <v>424</v>
      </c>
      <c r="G50" s="626">
        <v>22</v>
      </c>
      <c r="H50" s="627">
        <f>R.HN!C53</f>
        <v>3.7</v>
      </c>
      <c r="I50" s="300">
        <f>'R.GUI MAIL'!T6</f>
        <v>0</v>
      </c>
      <c r="J50" s="629"/>
      <c r="K50" s="630" t="s">
        <v>8</v>
      </c>
      <c r="L50" s="1138">
        <f>'R.GUI MAIL'!W6</f>
        <v>0</v>
      </c>
      <c r="M50" s="631" t="s">
        <v>10</v>
      </c>
      <c r="N50" s="628">
        <f>R.HN!D53</f>
        <v>3.65</v>
      </c>
      <c r="O50" s="300">
        <f>'R.GUI MAIL'!T26</f>
        <v>9.8550000000000004</v>
      </c>
      <c r="P50" s="629"/>
      <c r="Q50" s="630" t="s">
        <v>8</v>
      </c>
      <c r="R50" s="1138">
        <f>'R.GUI MAIL'!W26</f>
        <v>215.31953124999995</v>
      </c>
      <c r="S50" s="631" t="s">
        <v>10</v>
      </c>
      <c r="T50" s="628"/>
      <c r="U50" s="300">
        <f>'R.GUI MAIL'!T42</f>
        <v>0</v>
      </c>
      <c r="V50" s="629"/>
      <c r="W50" s="630" t="s">
        <v>8</v>
      </c>
      <c r="X50" s="1138">
        <f>'R.GUI MAIL'!W42</f>
        <v>0</v>
      </c>
      <c r="Y50" s="631" t="s">
        <v>10</v>
      </c>
    </row>
    <row r="51" spans="1:25" ht="30.75" hidden="1" customHeight="1">
      <c r="A51" s="623">
        <v>3</v>
      </c>
      <c r="B51" s="3864" t="s">
        <v>389</v>
      </c>
      <c r="C51" s="3865"/>
      <c r="D51" s="3866"/>
      <c r="E51" s="632" t="s">
        <v>3</v>
      </c>
      <c r="F51" s="625" t="s">
        <v>424</v>
      </c>
      <c r="G51" s="626"/>
      <c r="H51" s="627"/>
      <c r="I51" s="1096">
        <f>'R.GUI MAIL'!T7</f>
        <v>0</v>
      </c>
      <c r="J51" s="629"/>
      <c r="K51" s="630" t="s">
        <v>8</v>
      </c>
      <c r="L51" s="1138">
        <f>'R.GUI MAIL'!W7</f>
        <v>292.1875</v>
      </c>
      <c r="M51" s="631" t="s">
        <v>10</v>
      </c>
      <c r="N51" s="628"/>
      <c r="O51" s="633"/>
      <c r="P51" s="633"/>
      <c r="Q51" s="634"/>
      <c r="R51" s="1137"/>
      <c r="S51" s="635"/>
      <c r="T51" s="636"/>
      <c r="U51" s="1096">
        <f>'R.GUI MAIL'!T42</f>
        <v>0</v>
      </c>
      <c r="V51" s="629"/>
      <c r="W51" s="630" t="s">
        <v>8</v>
      </c>
      <c r="X51" s="1138">
        <f>'R.GUI MAIL'!W42</f>
        <v>0</v>
      </c>
      <c r="Y51" s="631" t="s">
        <v>10</v>
      </c>
    </row>
    <row r="52" spans="1:25" ht="30.75" customHeight="1">
      <c r="A52" s="623">
        <v>4</v>
      </c>
      <c r="B52" s="3867" t="s">
        <v>740</v>
      </c>
      <c r="C52" s="1140" t="s">
        <v>741</v>
      </c>
      <c r="D52" s="1141">
        <f>R.HN!E12</f>
        <v>3</v>
      </c>
      <c r="E52" s="3870" t="s">
        <v>429</v>
      </c>
      <c r="F52" s="625" t="s">
        <v>727</v>
      </c>
      <c r="G52" s="626">
        <v>50</v>
      </c>
      <c r="H52" s="627">
        <f>R.HN!C54</f>
        <v>9.9</v>
      </c>
      <c r="I52" s="300">
        <f>'R.GUI MAIL'!T8</f>
        <v>0</v>
      </c>
      <c r="J52" s="629"/>
      <c r="K52" s="630" t="s">
        <v>8</v>
      </c>
      <c r="L52" s="1138">
        <f>'R.GUI MAIL'!W8</f>
        <v>0</v>
      </c>
      <c r="M52" s="631" t="s">
        <v>9</v>
      </c>
      <c r="N52" s="628">
        <f>R.HN!D54</f>
        <v>9.8000000000000007</v>
      </c>
      <c r="O52" s="300">
        <f>'R.GUI MAIL'!T27</f>
        <v>43</v>
      </c>
      <c r="P52" s="629"/>
      <c r="Q52" s="630" t="s">
        <v>8</v>
      </c>
      <c r="R52" s="1138">
        <f>'R.GUI MAIL'!W27</f>
        <v>34.545000000000002</v>
      </c>
      <c r="S52" s="631" t="s">
        <v>9</v>
      </c>
      <c r="T52" s="628"/>
      <c r="U52" s="300">
        <f>'R.GUI MAIL'!T43</f>
        <v>0</v>
      </c>
      <c r="V52" s="629"/>
      <c r="W52" s="630" t="s">
        <v>8</v>
      </c>
      <c r="X52" s="1138">
        <f>'R.GUI MAIL'!W43</f>
        <v>0</v>
      </c>
      <c r="Y52" s="631" t="s">
        <v>9</v>
      </c>
    </row>
    <row r="53" spans="1:25" ht="30.75" customHeight="1">
      <c r="A53" s="623">
        <v>5</v>
      </c>
      <c r="B53" s="3868"/>
      <c r="C53" s="1142"/>
      <c r="D53" s="1143"/>
      <c r="E53" s="3870"/>
      <c r="F53" s="625" t="s">
        <v>723</v>
      </c>
      <c r="G53" s="637">
        <v>6</v>
      </c>
      <c r="H53" s="627">
        <f>R.HN!C55</f>
        <v>8.1999999999999993</v>
      </c>
      <c r="I53" s="300">
        <f>'R.GUI MAIL'!T9</f>
        <v>0</v>
      </c>
      <c r="J53" s="629"/>
      <c r="K53" s="630" t="s">
        <v>8</v>
      </c>
      <c r="L53" s="1138">
        <f>'R.GUI MAIL'!W9</f>
        <v>0</v>
      </c>
      <c r="M53" s="631" t="s">
        <v>9</v>
      </c>
      <c r="N53" s="628">
        <f>R.HN!D55</f>
        <v>8</v>
      </c>
      <c r="O53" s="300">
        <f>'R.GUI MAIL'!T28</f>
        <v>8.9583333333333339</v>
      </c>
      <c r="P53" s="629"/>
      <c r="Q53" s="630"/>
      <c r="R53" s="1138">
        <f>'R.GUI MAIL'!W28</f>
        <v>0</v>
      </c>
      <c r="S53" s="631" t="s">
        <v>9</v>
      </c>
      <c r="T53" s="628"/>
      <c r="U53" s="300">
        <f>'R.GUI MAIL'!T44</f>
        <v>0</v>
      </c>
      <c r="V53" s="629"/>
      <c r="W53" s="630"/>
      <c r="X53" s="1138">
        <f>'R.GUI MAIL'!W44</f>
        <v>0</v>
      </c>
      <c r="Y53" s="631" t="s">
        <v>9</v>
      </c>
    </row>
    <row r="54" spans="1:25" ht="30.75" customHeight="1">
      <c r="A54" s="623">
        <v>6</v>
      </c>
      <c r="B54" s="3868"/>
      <c r="C54" s="1142"/>
      <c r="D54" s="1143"/>
      <c r="E54" s="3870"/>
      <c r="F54" s="625" t="s">
        <v>611</v>
      </c>
      <c r="G54" s="637">
        <v>0.4</v>
      </c>
      <c r="H54" s="627">
        <f>R.HN!C56</f>
        <v>9.8000000000000007</v>
      </c>
      <c r="I54" s="412">
        <f>'R.GUI MAIL'!T10</f>
        <v>0</v>
      </c>
      <c r="J54" s="629"/>
      <c r="K54" s="630" t="s">
        <v>8</v>
      </c>
      <c r="L54" s="1138">
        <f>'R.GUI MAIL'!W10</f>
        <v>0</v>
      </c>
      <c r="M54" s="631" t="s">
        <v>9</v>
      </c>
      <c r="N54" s="628">
        <f>R.HN!D56</f>
        <v>9.9</v>
      </c>
      <c r="O54" s="412">
        <f>'R.GUI MAIL'!T29</f>
        <v>0.14000000000000001</v>
      </c>
      <c r="P54" s="638"/>
      <c r="Q54" s="639"/>
      <c r="R54" s="1138">
        <f>'R.GUI MAIL'!W29</f>
        <v>0</v>
      </c>
      <c r="S54" s="640" t="s">
        <v>9</v>
      </c>
      <c r="T54" s="641"/>
      <c r="U54" s="412">
        <f>'R.GUI MAIL'!T45</f>
        <v>0</v>
      </c>
      <c r="V54" s="629"/>
      <c r="W54" s="630"/>
      <c r="X54" s="1138">
        <f>'R.GUI MAIL'!W45</f>
        <v>0</v>
      </c>
      <c r="Y54" s="631" t="s">
        <v>9</v>
      </c>
    </row>
    <row r="55" spans="1:25" ht="30.75" hidden="1" customHeight="1">
      <c r="A55" s="623">
        <v>7</v>
      </c>
      <c r="B55" s="3867" t="s">
        <v>740</v>
      </c>
      <c r="C55" s="1140" t="s">
        <v>741</v>
      </c>
      <c r="D55" s="1141">
        <f>R.HN!E13</f>
        <v>4</v>
      </c>
      <c r="E55" s="3870" t="s">
        <v>429</v>
      </c>
      <c r="F55" s="625" t="s">
        <v>727</v>
      </c>
      <c r="G55" s="626">
        <v>50</v>
      </c>
      <c r="H55" s="627">
        <f>R.HN!C57</f>
        <v>8.1</v>
      </c>
      <c r="I55" s="300">
        <f>'R.GUI MAIL'!T11</f>
        <v>0</v>
      </c>
      <c r="J55" s="654"/>
      <c r="K55" s="630" t="s">
        <v>8</v>
      </c>
      <c r="L55" s="1138">
        <f>'R.GUI MAIL'!W11</f>
        <v>0</v>
      </c>
      <c r="M55" s="631" t="s">
        <v>9</v>
      </c>
      <c r="N55" s="628">
        <f>R.HN!D57</f>
        <v>7.8</v>
      </c>
      <c r="O55" s="633"/>
      <c r="P55" s="633"/>
      <c r="Q55" s="634"/>
      <c r="R55" s="1137"/>
      <c r="S55" s="635"/>
      <c r="T55" s="628"/>
      <c r="U55" s="633"/>
      <c r="V55" s="633"/>
      <c r="W55" s="634"/>
      <c r="X55" s="1137"/>
      <c r="Y55" s="635"/>
    </row>
    <row r="56" spans="1:25" ht="30.75" hidden="1" customHeight="1">
      <c r="A56" s="623">
        <v>8</v>
      </c>
      <c r="B56" s="3868"/>
      <c r="C56" s="1142"/>
      <c r="D56" s="1143"/>
      <c r="E56" s="3870"/>
      <c r="F56" s="625" t="s">
        <v>723</v>
      </c>
      <c r="G56" s="637">
        <v>6</v>
      </c>
      <c r="H56" s="627">
        <f>R.HN!C58</f>
        <v>9.8000000000000007</v>
      </c>
      <c r="I56" s="300">
        <f>'R.GUI MAIL'!T12</f>
        <v>0</v>
      </c>
      <c r="J56" s="629"/>
      <c r="K56" s="630" t="s">
        <v>8</v>
      </c>
      <c r="L56" s="1138">
        <f>'R.GUI MAIL'!W12</f>
        <v>0</v>
      </c>
      <c r="M56" s="631" t="s">
        <v>9</v>
      </c>
      <c r="N56" s="628">
        <f>R.HN!D58</f>
        <v>9.6999999999999993</v>
      </c>
      <c r="O56" s="633"/>
      <c r="P56" s="633"/>
      <c r="Q56" s="634"/>
      <c r="R56" s="1137"/>
      <c r="S56" s="635"/>
      <c r="T56" s="628"/>
      <c r="U56" s="633"/>
      <c r="V56" s="633"/>
      <c r="W56" s="634"/>
      <c r="X56" s="1137"/>
      <c r="Y56" s="635"/>
    </row>
    <row r="57" spans="1:25" ht="30.75" hidden="1" customHeight="1">
      <c r="A57" s="623">
        <v>9</v>
      </c>
      <c r="B57" s="3868"/>
      <c r="C57" s="1142"/>
      <c r="D57" s="1143"/>
      <c r="E57" s="3870"/>
      <c r="F57" s="625" t="s">
        <v>611</v>
      </c>
      <c r="G57" s="637">
        <v>0.4</v>
      </c>
      <c r="H57" s="627">
        <f>R.HN!C59</f>
        <v>8.1</v>
      </c>
      <c r="I57" s="412">
        <f>'R.GUI MAIL'!T13</f>
        <v>0</v>
      </c>
      <c r="J57" s="654"/>
      <c r="K57" s="630" t="s">
        <v>8</v>
      </c>
      <c r="L57" s="1138">
        <f>'R.GUI MAIL'!W13</f>
        <v>0</v>
      </c>
      <c r="M57" s="631" t="s">
        <v>9</v>
      </c>
      <c r="N57" s="628">
        <f>R.HN!D59</f>
        <v>8</v>
      </c>
      <c r="O57" s="642"/>
      <c r="P57" s="642"/>
      <c r="Q57" s="643"/>
      <c r="R57" s="1137"/>
      <c r="S57" s="644"/>
      <c r="T57" s="641"/>
      <c r="U57" s="642"/>
      <c r="V57" s="642"/>
      <c r="W57" s="643"/>
      <c r="X57" s="1137"/>
      <c r="Y57" s="644"/>
    </row>
    <row r="58" spans="1:25" ht="30.75" customHeight="1">
      <c r="A58" s="623">
        <v>10</v>
      </c>
      <c r="B58" s="3864" t="s">
        <v>742</v>
      </c>
      <c r="C58" s="3865"/>
      <c r="D58" s="3866"/>
      <c r="E58" s="623" t="s">
        <v>429</v>
      </c>
      <c r="F58" s="645" t="s">
        <v>439</v>
      </c>
      <c r="G58" s="637">
        <v>2</v>
      </c>
      <c r="H58" s="627">
        <f>R.HN!C41</f>
        <v>8.6999999999999993</v>
      </c>
      <c r="I58" s="300">
        <f>'R.GUI MAIL'!T14</f>
        <v>0</v>
      </c>
      <c r="J58" s="629"/>
      <c r="K58" s="630" t="s">
        <v>8</v>
      </c>
      <c r="L58" s="1146">
        <f>'R.GUI MAIL'!W14</f>
        <v>0</v>
      </c>
      <c r="M58" s="631" t="s">
        <v>9</v>
      </c>
      <c r="N58" s="628">
        <f>R.HN!D41</f>
        <v>0</v>
      </c>
      <c r="O58" s="300">
        <f>'R.GUI MAIL'!T30</f>
        <v>0.95</v>
      </c>
      <c r="P58" s="629"/>
      <c r="Q58" s="630" t="s">
        <v>8</v>
      </c>
      <c r="R58" s="1138">
        <f>'R.GUI MAIL'!W30</f>
        <v>6.1700000000000053E-2</v>
      </c>
      <c r="S58" s="631" t="s">
        <v>9</v>
      </c>
      <c r="T58" s="628"/>
      <c r="U58" s="300">
        <f>'R.GUI MAIL'!T46</f>
        <v>0</v>
      </c>
      <c r="V58" s="629"/>
      <c r="W58" s="630" t="s">
        <v>8</v>
      </c>
      <c r="X58" s="1138">
        <f>'R.GUI MAIL'!W46</f>
        <v>0</v>
      </c>
      <c r="Y58" s="631" t="s">
        <v>9</v>
      </c>
    </row>
    <row r="59" spans="1:25" ht="30.75" customHeight="1">
      <c r="A59" s="623">
        <v>11</v>
      </c>
      <c r="B59" s="3879"/>
      <c r="C59" s="3880"/>
      <c r="D59" s="3881"/>
      <c r="E59" s="623" t="s">
        <v>5</v>
      </c>
      <c r="F59" s="1144" t="s">
        <v>617</v>
      </c>
      <c r="G59" s="646">
        <v>9</v>
      </c>
      <c r="H59" s="627">
        <f>R.HN!C42</f>
        <v>0</v>
      </c>
      <c r="I59" s="300">
        <f>'R.GUI MAIL'!T15</f>
        <v>0</v>
      </c>
      <c r="J59" s="629"/>
      <c r="K59" s="630"/>
      <c r="L59" s="1138"/>
      <c r="M59" s="631"/>
      <c r="N59" s="628">
        <f>R.HN!D42</f>
        <v>0</v>
      </c>
      <c r="O59" s="300">
        <f>'R.GUI MAIL'!T31</f>
        <v>9.5</v>
      </c>
      <c r="P59" s="629"/>
      <c r="Q59" s="630"/>
      <c r="R59" s="1138"/>
      <c r="S59" s="631"/>
      <c r="T59" s="628"/>
      <c r="U59" s="300">
        <f>'R.GUI MAIL'!T47</f>
        <v>0</v>
      </c>
      <c r="V59" s="629"/>
      <c r="W59" s="630"/>
      <c r="X59" s="1138"/>
      <c r="Y59" s="631"/>
    </row>
    <row r="60" spans="1:25" ht="30.75" customHeight="1">
      <c r="A60" s="647"/>
      <c r="B60" s="1818"/>
      <c r="C60" s="648"/>
      <c r="D60" s="648"/>
      <c r="E60" s="648" t="s">
        <v>2</v>
      </c>
      <c r="F60" s="648"/>
      <c r="G60" s="648"/>
      <c r="H60" s="648"/>
      <c r="I60" s="648"/>
      <c r="J60" s="648"/>
      <c r="K60" s="648"/>
      <c r="L60" s="648"/>
      <c r="M60" s="648"/>
      <c r="N60" s="648"/>
      <c r="O60" s="648"/>
      <c r="P60" s="648"/>
      <c r="Q60" s="648"/>
      <c r="R60" s="648"/>
      <c r="S60" s="648"/>
      <c r="T60" s="648"/>
      <c r="U60" s="648"/>
      <c r="V60" s="648"/>
      <c r="W60" s="648"/>
      <c r="X60" s="648"/>
      <c r="Y60" s="1145"/>
    </row>
    <row r="61" spans="1:25" ht="30.75" customHeight="1">
      <c r="A61" s="649" t="s">
        <v>53</v>
      </c>
      <c r="B61" s="3861" t="s">
        <v>743</v>
      </c>
      <c r="C61" s="3862"/>
      <c r="D61" s="3863"/>
      <c r="E61" s="650" t="s">
        <v>744</v>
      </c>
      <c r="F61" s="650" t="s">
        <v>745</v>
      </c>
      <c r="G61" s="651" t="s">
        <v>736</v>
      </c>
      <c r="H61" s="652"/>
      <c r="I61" s="3871" t="s">
        <v>45</v>
      </c>
      <c r="J61" s="3872"/>
      <c r="K61" s="3872"/>
      <c r="L61" s="3873" t="s">
        <v>61</v>
      </c>
      <c r="M61" s="3874"/>
      <c r="N61" s="617"/>
      <c r="O61" s="3871" t="s">
        <v>45</v>
      </c>
      <c r="P61" s="3872"/>
      <c r="Q61" s="3872"/>
      <c r="R61" s="3873" t="s">
        <v>61</v>
      </c>
      <c r="S61" s="3874"/>
      <c r="T61" s="617"/>
      <c r="U61" s="3871" t="s">
        <v>45</v>
      </c>
      <c r="V61" s="3872"/>
      <c r="W61" s="3872"/>
      <c r="X61" s="3873" t="s">
        <v>61</v>
      </c>
      <c r="Y61" s="3874"/>
    </row>
    <row r="62" spans="1:25" ht="30.75" customHeight="1">
      <c r="A62" s="649">
        <v>1</v>
      </c>
      <c r="B62" s="3861" t="s">
        <v>746</v>
      </c>
      <c r="C62" s="3862"/>
      <c r="D62" s="3863"/>
      <c r="E62" s="653" t="s">
        <v>747</v>
      </c>
      <c r="F62" s="645" t="s">
        <v>1097</v>
      </c>
      <c r="G62" s="651"/>
      <c r="H62" s="652"/>
      <c r="I62" s="1495"/>
      <c r="J62" s="1496"/>
      <c r="K62" s="1496"/>
      <c r="L62" s="1492"/>
      <c r="M62" s="1493"/>
      <c r="N62" s="1494"/>
      <c r="O62" s="3802">
        <f>'R.GUI MAIL'!T34</f>
        <v>0</v>
      </c>
      <c r="P62" s="3802"/>
      <c r="Q62" s="3802"/>
      <c r="R62" s="3802">
        <f>'R.GUI MAIL'!W34</f>
        <v>59</v>
      </c>
      <c r="S62" s="3802"/>
      <c r="T62" s="3802"/>
      <c r="U62" s="3802">
        <f>'R.GUI MAIL'!T50</f>
        <v>0</v>
      </c>
      <c r="V62" s="3802"/>
      <c r="W62" s="3802"/>
      <c r="X62" s="3802">
        <f>'R.GUI MAIL'!W50</f>
        <v>0</v>
      </c>
      <c r="Y62" s="3802"/>
    </row>
    <row r="63" spans="1:25" ht="30.75" customHeight="1">
      <c r="A63" s="649">
        <v>2</v>
      </c>
      <c r="B63" s="3861" t="s">
        <v>748</v>
      </c>
      <c r="C63" s="3862"/>
      <c r="D63" s="3863"/>
      <c r="E63" s="653" t="s">
        <v>747</v>
      </c>
      <c r="F63" s="645" t="s">
        <v>749</v>
      </c>
      <c r="G63" s="654" t="e">
        <f>'[8]file goc'!G125</f>
        <v>#REF!</v>
      </c>
      <c r="H63" s="654"/>
      <c r="I63" s="3591">
        <f>'R.GUI MAIL'!T18</f>
        <v>0</v>
      </c>
      <c r="J63" s="3592"/>
      <c r="K63" s="3592"/>
      <c r="L63" s="3591">
        <f>'R.GUI MAIL'!W18</f>
        <v>0</v>
      </c>
      <c r="M63" s="3592"/>
      <c r="N63" s="1456"/>
      <c r="O63" s="3591">
        <f>'R.GUI MAIL'!T35</f>
        <v>0</v>
      </c>
      <c r="P63" s="3592"/>
      <c r="Q63" s="3592"/>
      <c r="R63" s="3591">
        <f>'R.GUI MAIL'!W35</f>
        <v>66</v>
      </c>
      <c r="S63" s="3593"/>
      <c r="T63" s="1494"/>
      <c r="U63" s="3591">
        <f>'R.GUI MAIL'!T51</f>
        <v>0</v>
      </c>
      <c r="V63" s="3592"/>
      <c r="W63" s="3593"/>
      <c r="X63" s="3591">
        <f>'R.GUI MAIL'!W51</f>
        <v>0</v>
      </c>
      <c r="Y63" s="3593"/>
    </row>
    <row r="64" spans="1:25" ht="30.75" hidden="1" customHeight="1">
      <c r="A64" s="649">
        <v>3</v>
      </c>
      <c r="B64" s="3861" t="s">
        <v>750</v>
      </c>
      <c r="C64" s="3862"/>
      <c r="D64" s="3863"/>
      <c r="E64" s="653" t="s">
        <v>747</v>
      </c>
      <c r="F64" s="645" t="s">
        <v>749</v>
      </c>
      <c r="G64" s="655" t="e">
        <f>'[8]file goc'!G126</f>
        <v>#REF!</v>
      </c>
      <c r="H64" s="654"/>
      <c r="I64" s="3591">
        <f>'R.GUI MAIL'!T19</f>
        <v>0</v>
      </c>
      <c r="J64" s="3592"/>
      <c r="K64" s="3592"/>
      <c r="L64" s="3591">
        <f>'R.GUI MAIL'!W19</f>
        <v>0</v>
      </c>
      <c r="M64" s="3593"/>
      <c r="N64" s="1494"/>
      <c r="O64" s="1495"/>
      <c r="P64" s="1496"/>
      <c r="Q64" s="1496"/>
      <c r="R64" s="1497"/>
      <c r="S64" s="1498"/>
      <c r="T64" s="1494"/>
      <c r="U64" s="1499"/>
      <c r="V64" s="1499"/>
      <c r="W64" s="1499"/>
      <c r="X64" s="1499"/>
      <c r="Y64" s="1499"/>
    </row>
    <row r="65" spans="1:25" ht="30.75" customHeight="1">
      <c r="A65" s="649">
        <v>6</v>
      </c>
      <c r="B65" s="3861" t="s">
        <v>751</v>
      </c>
      <c r="C65" s="3862"/>
      <c r="D65" s="3863"/>
      <c r="E65" s="653" t="s">
        <v>747</v>
      </c>
      <c r="F65" s="645" t="s">
        <v>752</v>
      </c>
      <c r="G65" s="655" t="e">
        <f>'[8]file goc'!G129</f>
        <v>#REF!</v>
      </c>
      <c r="H65" s="654"/>
      <c r="I65" s="3591">
        <f>'R.GUI MAIL'!T20</f>
        <v>0</v>
      </c>
      <c r="J65" s="3592"/>
      <c r="K65" s="3592"/>
      <c r="L65" s="3591">
        <f>'R.GUI MAIL'!W20</f>
        <v>0</v>
      </c>
      <c r="M65" s="3593"/>
      <c r="N65" s="1494"/>
      <c r="O65" s="3591">
        <f>'R.GUI MAIL'!T36</f>
        <v>0</v>
      </c>
      <c r="P65" s="3592"/>
      <c r="Q65" s="3592"/>
      <c r="R65" s="3591">
        <f>'R.GUI MAIL'!W36</f>
        <v>82</v>
      </c>
      <c r="S65" s="3593"/>
      <c r="T65" s="1494"/>
      <c r="U65" s="3591">
        <f>'R.GUI MAIL'!T52</f>
        <v>0</v>
      </c>
      <c r="V65" s="3592"/>
      <c r="W65" s="3593"/>
      <c r="X65" s="3591">
        <f>'R.GUI MAIL'!W52</f>
        <v>0</v>
      </c>
      <c r="Y65" s="3593"/>
    </row>
    <row r="66" spans="1:25" s="614" customFormat="1" ht="30.75" customHeight="1">
      <c r="A66" s="3885" t="s">
        <v>1451</v>
      </c>
      <c r="B66" s="3886"/>
      <c r="C66" s="3858" t="str">
        <f>MENU!$AC$9</f>
        <v>Thứ 5,</v>
      </c>
      <c r="D66" s="3858"/>
      <c r="E66" s="3859" t="str">
        <f>MENU!$AD$9</f>
        <v>2024/08/01</v>
      </c>
      <c r="F66" s="3860"/>
      <c r="G66" s="3860"/>
      <c r="H66" s="3860"/>
      <c r="I66" s="1995" t="s">
        <v>732</v>
      </c>
      <c r="J66" s="1995"/>
      <c r="K66" s="1995"/>
      <c r="L66" s="1995"/>
      <c r="M66" s="1995"/>
      <c r="N66" s="1995"/>
      <c r="O66" s="1995"/>
      <c r="P66" s="1995"/>
      <c r="Q66" s="1995"/>
      <c r="R66" s="1995"/>
      <c r="S66" s="1995"/>
      <c r="T66" s="1995"/>
      <c r="U66" s="1995"/>
      <c r="V66" s="1995"/>
      <c r="W66" s="1995"/>
      <c r="X66" s="1995"/>
      <c r="Y66" s="1996"/>
    </row>
    <row r="67" spans="1:25" ht="30.75" customHeight="1">
      <c r="A67" s="3838" t="s">
        <v>7</v>
      </c>
      <c r="B67" s="3841" t="s">
        <v>733</v>
      </c>
      <c r="C67" s="3842"/>
      <c r="D67" s="3843"/>
      <c r="E67" s="3850" t="s">
        <v>734</v>
      </c>
      <c r="F67" s="3853" t="s">
        <v>735</v>
      </c>
      <c r="G67" s="615"/>
      <c r="H67" s="616"/>
      <c r="I67" s="3856" t="s">
        <v>736</v>
      </c>
      <c r="J67" s="3857"/>
      <c r="K67" s="3857"/>
      <c r="L67" s="3857"/>
      <c r="M67" s="3857"/>
      <c r="N67" s="617"/>
      <c r="O67" s="3856" t="s">
        <v>1279</v>
      </c>
      <c r="P67" s="3857"/>
      <c r="Q67" s="3857"/>
      <c r="R67" s="3857"/>
      <c r="S67" s="3857"/>
      <c r="T67" s="617"/>
      <c r="U67" s="3856" t="s">
        <v>1280</v>
      </c>
      <c r="V67" s="3857"/>
      <c r="W67" s="3857"/>
      <c r="X67" s="3857"/>
      <c r="Y67" s="3857"/>
    </row>
    <row r="68" spans="1:25" ht="30.75" customHeight="1">
      <c r="A68" s="3839"/>
      <c r="B68" s="3844"/>
      <c r="C68" s="3845"/>
      <c r="D68" s="3846"/>
      <c r="E68" s="3851"/>
      <c r="F68" s="3854"/>
      <c r="G68" s="618" t="s">
        <v>420</v>
      </c>
      <c r="H68" s="619"/>
      <c r="I68" s="3829" t="s">
        <v>737</v>
      </c>
      <c r="J68" s="621" t="s">
        <v>738</v>
      </c>
      <c r="K68" s="3831" t="s">
        <v>1</v>
      </c>
      <c r="L68" s="3831"/>
      <c r="M68" s="3832"/>
      <c r="N68" s="620"/>
      <c r="O68" s="3829" t="s">
        <v>737</v>
      </c>
      <c r="P68" s="621" t="s">
        <v>738</v>
      </c>
      <c r="Q68" s="3831" t="s">
        <v>1</v>
      </c>
      <c r="R68" s="3831"/>
      <c r="S68" s="3832"/>
      <c r="T68" s="619"/>
      <c r="U68" s="3829" t="s">
        <v>737</v>
      </c>
      <c r="V68" s="621" t="s">
        <v>738</v>
      </c>
      <c r="W68" s="3831" t="s">
        <v>1</v>
      </c>
      <c r="X68" s="3831"/>
      <c r="Y68" s="3832"/>
    </row>
    <row r="69" spans="1:25" ht="30.75" customHeight="1">
      <c r="A69" s="3840"/>
      <c r="B69" s="3847"/>
      <c r="C69" s="3848"/>
      <c r="D69" s="3849"/>
      <c r="E69" s="3852"/>
      <c r="F69" s="3855"/>
      <c r="G69" s="618"/>
      <c r="H69" s="619"/>
      <c r="I69" s="3830"/>
      <c r="J69" s="622"/>
      <c r="K69" s="3833"/>
      <c r="L69" s="3833"/>
      <c r="M69" s="3834"/>
      <c r="N69" s="620"/>
      <c r="O69" s="3830"/>
      <c r="P69" s="622"/>
      <c r="Q69" s="3833"/>
      <c r="R69" s="3833"/>
      <c r="S69" s="3834"/>
      <c r="T69" s="619"/>
      <c r="U69" s="3830"/>
      <c r="V69" s="622"/>
      <c r="W69" s="3833"/>
      <c r="X69" s="3833"/>
      <c r="Y69" s="3834"/>
    </row>
    <row r="70" spans="1:25" ht="30.75" customHeight="1">
      <c r="A70" s="623">
        <v>1</v>
      </c>
      <c r="B70" s="3861" t="s">
        <v>739</v>
      </c>
      <c r="C70" s="3862"/>
      <c r="D70" s="3863"/>
      <c r="E70" s="624" t="s">
        <v>429</v>
      </c>
      <c r="F70" s="625" t="s">
        <v>725</v>
      </c>
      <c r="G70" s="626">
        <v>40</v>
      </c>
      <c r="H70" s="627">
        <f>R.HN!C73</f>
        <v>0</v>
      </c>
      <c r="I70" s="633"/>
      <c r="J70" s="642"/>
      <c r="K70" s="643"/>
      <c r="L70" s="1137"/>
      <c r="M70" s="644"/>
      <c r="N70" s="628">
        <f>R.HN!D73</f>
        <v>0</v>
      </c>
      <c r="O70" s="300">
        <f>'R.GUI MAIL'!Z25</f>
        <v>40</v>
      </c>
      <c r="P70" s="629"/>
      <c r="Q70" s="630" t="s">
        <v>8</v>
      </c>
      <c r="R70" s="1138">
        <f>'R.GUI MAIL'!AC25</f>
        <v>0</v>
      </c>
      <c r="S70" s="631" t="s">
        <v>9</v>
      </c>
      <c r="T70" s="628"/>
      <c r="U70" s="300">
        <f>'R.GUI MAIL'!Z41</f>
        <v>0</v>
      </c>
      <c r="V70" s="629"/>
      <c r="W70" s="630" t="s">
        <v>8</v>
      </c>
      <c r="X70" s="1139">
        <f>'R.GUI MAIL'!AC41</f>
        <v>0</v>
      </c>
      <c r="Y70" s="631" t="s">
        <v>9</v>
      </c>
    </row>
    <row r="71" spans="1:25" ht="30.75" customHeight="1">
      <c r="A71" s="623">
        <v>2</v>
      </c>
      <c r="B71" s="3861" t="s">
        <v>423</v>
      </c>
      <c r="C71" s="3862"/>
      <c r="D71" s="3863"/>
      <c r="E71" s="632" t="s">
        <v>3</v>
      </c>
      <c r="F71" s="625" t="s">
        <v>424</v>
      </c>
      <c r="G71" s="626">
        <v>22</v>
      </c>
      <c r="H71" s="627">
        <f>R.HN!C74</f>
        <v>0</v>
      </c>
      <c r="I71" s="300">
        <f>'R.GUI MAIL'!Z6</f>
        <v>0</v>
      </c>
      <c r="J71" s="629"/>
      <c r="K71" s="630" t="s">
        <v>8</v>
      </c>
      <c r="L71" s="1138">
        <f>'R.GUI MAIL'!AC6</f>
        <v>0</v>
      </c>
      <c r="M71" s="1148" t="s">
        <v>10</v>
      </c>
      <c r="N71" s="628">
        <f>R.HN!D74</f>
        <v>0</v>
      </c>
      <c r="O71" s="300">
        <f>'R.GUI MAIL'!Z26</f>
        <v>10.584999999999999</v>
      </c>
      <c r="P71" s="629"/>
      <c r="Q71" s="630" t="s">
        <v>8</v>
      </c>
      <c r="R71" s="1138">
        <f>'R.GUI MAIL'!AC26</f>
        <v>155.89296875000008</v>
      </c>
      <c r="S71" s="631" t="s">
        <v>10</v>
      </c>
      <c r="T71" s="628"/>
      <c r="U71" s="300">
        <f>'R.GUI MAIL'!Z42</f>
        <v>0</v>
      </c>
      <c r="V71" s="629"/>
      <c r="W71" s="630" t="s">
        <v>8</v>
      </c>
      <c r="X71" s="1138">
        <f>'R.GUI MAIL'!AC42</f>
        <v>0</v>
      </c>
      <c r="Y71" s="631" t="s">
        <v>10</v>
      </c>
    </row>
    <row r="72" spans="1:25" ht="30.75" hidden="1" customHeight="1">
      <c r="A72" s="623">
        <v>3</v>
      </c>
      <c r="B72" s="3864" t="s">
        <v>389</v>
      </c>
      <c r="C72" s="3865"/>
      <c r="D72" s="3866"/>
      <c r="E72" s="632" t="s">
        <v>3</v>
      </c>
      <c r="F72" s="625" t="s">
        <v>424</v>
      </c>
      <c r="G72" s="626"/>
      <c r="H72" s="627"/>
      <c r="I72" s="1096">
        <f>'R.GUI MAIL'!Z7</f>
        <v>0</v>
      </c>
      <c r="J72" s="629"/>
      <c r="K72" s="630" t="s">
        <v>8</v>
      </c>
      <c r="L72" s="1138">
        <f>'R.GUI MAIL'!AC7</f>
        <v>292.1875</v>
      </c>
      <c r="M72" s="1148" t="s">
        <v>10</v>
      </c>
      <c r="N72" s="628"/>
      <c r="O72" s="633"/>
      <c r="P72" s="633"/>
      <c r="Q72" s="634"/>
      <c r="R72" s="1137"/>
      <c r="S72" s="635"/>
      <c r="T72" s="636"/>
      <c r="U72" s="1096">
        <f>'R.GUI MAIL'!Z42</f>
        <v>0</v>
      </c>
      <c r="V72" s="629"/>
      <c r="W72" s="630" t="s">
        <v>8</v>
      </c>
      <c r="X72" s="1138">
        <f>'R.GUI MAIL'!AC42</f>
        <v>0</v>
      </c>
      <c r="Y72" s="631" t="s">
        <v>10</v>
      </c>
    </row>
    <row r="73" spans="1:25" ht="30.75" customHeight="1">
      <c r="A73" s="623">
        <v>4</v>
      </c>
      <c r="B73" s="3867" t="s">
        <v>740</v>
      </c>
      <c r="C73" s="1140" t="s">
        <v>741</v>
      </c>
      <c r="D73" s="1141">
        <f>R.HN!F12</f>
        <v>3</v>
      </c>
      <c r="E73" s="3870" t="s">
        <v>429</v>
      </c>
      <c r="F73" s="625" t="s">
        <v>727</v>
      </c>
      <c r="G73" s="626">
        <v>50</v>
      </c>
      <c r="H73" s="627">
        <f>R.HN!C75</f>
        <v>0</v>
      </c>
      <c r="I73" s="300">
        <f>'R.GUI MAIL'!Z8</f>
        <v>0</v>
      </c>
      <c r="J73" s="629"/>
      <c r="K73" s="630" t="s">
        <v>8</v>
      </c>
      <c r="L73" s="1138">
        <f>'R.GUI MAIL'!AC8</f>
        <v>0</v>
      </c>
      <c r="M73" s="1148" t="s">
        <v>9</v>
      </c>
      <c r="N73" s="628">
        <f>R.HN!D75</f>
        <v>0</v>
      </c>
      <c r="O73" s="300">
        <f>'R.GUI MAIL'!Z27</f>
        <v>48</v>
      </c>
      <c r="P73" s="629"/>
      <c r="Q73" s="630" t="s">
        <v>8</v>
      </c>
      <c r="R73" s="1138">
        <f>'R.GUI MAIL'!AC27</f>
        <v>9.8699999999999992</v>
      </c>
      <c r="S73" s="631" t="s">
        <v>9</v>
      </c>
      <c r="T73" s="628"/>
      <c r="U73" s="300">
        <f>'R.GUI MAIL'!Z43</f>
        <v>0</v>
      </c>
      <c r="V73" s="629"/>
      <c r="W73" s="630" t="s">
        <v>8</v>
      </c>
      <c r="X73" s="1138">
        <f>'R.GUI MAIL'!AC43</f>
        <v>0</v>
      </c>
      <c r="Y73" s="631" t="s">
        <v>9</v>
      </c>
    </row>
    <row r="74" spans="1:25" ht="30.75" customHeight="1">
      <c r="A74" s="623">
        <v>5</v>
      </c>
      <c r="B74" s="3868"/>
      <c r="C74" s="1142"/>
      <c r="D74" s="1143"/>
      <c r="E74" s="3870"/>
      <c r="F74" s="625" t="s">
        <v>723</v>
      </c>
      <c r="G74" s="637">
        <v>6</v>
      </c>
      <c r="H74" s="627">
        <f>R.HN!C76</f>
        <v>0</v>
      </c>
      <c r="I74" s="300">
        <f>'R.GUI MAIL'!Z9</f>
        <v>0</v>
      </c>
      <c r="J74" s="629"/>
      <c r="K74" s="630" t="s">
        <v>8</v>
      </c>
      <c r="L74" s="1138">
        <f>'R.GUI MAIL'!AC9</f>
        <v>0</v>
      </c>
      <c r="M74" s="1148" t="s">
        <v>9</v>
      </c>
      <c r="N74" s="628">
        <f>R.HN!D76</f>
        <v>0</v>
      </c>
      <c r="O74" s="300">
        <f>'R.GUI MAIL'!Z28</f>
        <v>10.212765957446807</v>
      </c>
      <c r="P74" s="629"/>
      <c r="Q74" s="630"/>
      <c r="R74" s="1138">
        <f>'R.GUI MAIL'!AC28</f>
        <v>0</v>
      </c>
      <c r="S74" s="631" t="s">
        <v>9</v>
      </c>
      <c r="T74" s="628"/>
      <c r="U74" s="300">
        <f>'R.GUI MAIL'!Z44</f>
        <v>0</v>
      </c>
      <c r="V74" s="629"/>
      <c r="W74" s="630"/>
      <c r="X74" s="1138">
        <f>'R.GUI MAIL'!AC44</f>
        <v>0</v>
      </c>
      <c r="Y74" s="631" t="s">
        <v>9</v>
      </c>
    </row>
    <row r="75" spans="1:25" ht="30.75" customHeight="1">
      <c r="A75" s="623">
        <v>6</v>
      </c>
      <c r="B75" s="3868"/>
      <c r="C75" s="1142"/>
      <c r="D75" s="1143"/>
      <c r="E75" s="3870"/>
      <c r="F75" s="625" t="s">
        <v>611</v>
      </c>
      <c r="G75" s="637">
        <v>0.4</v>
      </c>
      <c r="H75" s="627">
        <f>R.HN!C77</f>
        <v>0</v>
      </c>
      <c r="I75" s="412">
        <f>'R.GUI MAIL'!Z10</f>
        <v>0</v>
      </c>
      <c r="J75" s="629"/>
      <c r="K75" s="630" t="s">
        <v>8</v>
      </c>
      <c r="L75" s="1138">
        <f>'R.GUI MAIL'!AC10</f>
        <v>0</v>
      </c>
      <c r="M75" s="1148" t="s">
        <v>9</v>
      </c>
      <c r="N75" s="628">
        <f>R.HN!D77</f>
        <v>0</v>
      </c>
      <c r="O75" s="412">
        <f>'R.GUI MAIL'!Z29</f>
        <v>0.14000000000000001</v>
      </c>
      <c r="P75" s="629"/>
      <c r="Q75" s="630"/>
      <c r="R75" s="1138">
        <f>'R.GUI MAIL'!AC29</f>
        <v>0</v>
      </c>
      <c r="S75" s="631" t="s">
        <v>9</v>
      </c>
      <c r="T75" s="628"/>
      <c r="U75" s="412">
        <f>'R.GUI MAIL'!Z45</f>
        <v>0</v>
      </c>
      <c r="V75" s="629"/>
      <c r="W75" s="630"/>
      <c r="X75" s="1138">
        <f>'R.GUI MAIL'!AC45</f>
        <v>0</v>
      </c>
      <c r="Y75" s="631" t="s">
        <v>9</v>
      </c>
    </row>
    <row r="76" spans="1:25" ht="30.75" hidden="1" customHeight="1">
      <c r="A76" s="623">
        <v>7</v>
      </c>
      <c r="B76" s="3867" t="s">
        <v>740</v>
      </c>
      <c r="C76" s="1140" t="s">
        <v>741</v>
      </c>
      <c r="D76" s="1141">
        <f>R.HN!F13</f>
        <v>4</v>
      </c>
      <c r="E76" s="3870" t="s">
        <v>429</v>
      </c>
      <c r="F76" s="625" t="s">
        <v>727</v>
      </c>
      <c r="G76" s="626">
        <v>50</v>
      </c>
      <c r="H76" s="627">
        <f>R.HN!C78</f>
        <v>0</v>
      </c>
      <c r="I76" s="300">
        <f>'R.GUI MAIL'!Z11</f>
        <v>0</v>
      </c>
      <c r="J76" s="654"/>
      <c r="K76" s="630" t="s">
        <v>8</v>
      </c>
      <c r="L76" s="1138">
        <f>'R.GUI MAIL'!AC11</f>
        <v>0</v>
      </c>
      <c r="M76" s="1148" t="s">
        <v>9</v>
      </c>
      <c r="N76" s="628">
        <f>R.HN!D78</f>
        <v>0</v>
      </c>
      <c r="O76" s="633"/>
      <c r="P76" s="642"/>
      <c r="Q76" s="643"/>
      <c r="R76" s="1137"/>
      <c r="S76" s="644"/>
      <c r="T76" s="641"/>
      <c r="U76" s="633"/>
      <c r="V76" s="633"/>
      <c r="W76" s="634"/>
      <c r="X76" s="1137"/>
      <c r="Y76" s="635"/>
    </row>
    <row r="77" spans="1:25" ht="30.75" hidden="1" customHeight="1">
      <c r="A77" s="623">
        <v>8</v>
      </c>
      <c r="B77" s="3868"/>
      <c r="C77" s="1142"/>
      <c r="D77" s="1143"/>
      <c r="E77" s="3870"/>
      <c r="F77" s="625" t="s">
        <v>723</v>
      </c>
      <c r="G77" s="637">
        <v>6</v>
      </c>
      <c r="H77" s="627">
        <f>R.HN!C79</f>
        <v>0</v>
      </c>
      <c r="I77" s="300">
        <f>'R.GUI MAIL'!Z12</f>
        <v>0</v>
      </c>
      <c r="J77" s="629"/>
      <c r="K77" s="630" t="s">
        <v>8</v>
      </c>
      <c r="L77" s="1138">
        <f>'R.GUI MAIL'!AC12</f>
        <v>0</v>
      </c>
      <c r="M77" s="1148" t="s">
        <v>9</v>
      </c>
      <c r="N77" s="628">
        <f>R.HN!D79</f>
        <v>0</v>
      </c>
      <c r="O77" s="633"/>
      <c r="P77" s="642"/>
      <c r="Q77" s="643"/>
      <c r="R77" s="1137"/>
      <c r="S77" s="644"/>
      <c r="T77" s="628"/>
      <c r="U77" s="633"/>
      <c r="V77" s="633"/>
      <c r="W77" s="634"/>
      <c r="X77" s="1137"/>
      <c r="Y77" s="635"/>
    </row>
    <row r="78" spans="1:25" ht="30.75" hidden="1" customHeight="1">
      <c r="A78" s="623">
        <v>9</v>
      </c>
      <c r="B78" s="3868"/>
      <c r="C78" s="1142"/>
      <c r="D78" s="1143"/>
      <c r="E78" s="3870"/>
      <c r="F78" s="625" t="s">
        <v>611</v>
      </c>
      <c r="G78" s="637">
        <v>0.4</v>
      </c>
      <c r="H78" s="627">
        <f>R.HN!C80</f>
        <v>0</v>
      </c>
      <c r="I78" s="412">
        <f>'R.GUI MAIL'!Z13</f>
        <v>0</v>
      </c>
      <c r="J78" s="654"/>
      <c r="K78" s="630" t="s">
        <v>8</v>
      </c>
      <c r="L78" s="1138">
        <f>'R.GUI MAIL'!AC13</f>
        <v>0</v>
      </c>
      <c r="M78" s="1148" t="s">
        <v>9</v>
      </c>
      <c r="N78" s="628">
        <f>R.HN!D80</f>
        <v>0</v>
      </c>
      <c r="O78" s="642"/>
      <c r="P78" s="642"/>
      <c r="Q78" s="643"/>
      <c r="R78" s="1137"/>
      <c r="S78" s="644"/>
      <c r="T78" s="641"/>
      <c r="U78" s="642"/>
      <c r="V78" s="642"/>
      <c r="W78" s="643"/>
      <c r="X78" s="1137"/>
      <c r="Y78" s="644"/>
    </row>
    <row r="79" spans="1:25" ht="30.75" customHeight="1">
      <c r="A79" s="623">
        <v>10</v>
      </c>
      <c r="B79" s="3864" t="s">
        <v>742</v>
      </c>
      <c r="C79" s="3865"/>
      <c r="D79" s="3866"/>
      <c r="E79" s="623" t="s">
        <v>429</v>
      </c>
      <c r="F79" s="645" t="s">
        <v>439</v>
      </c>
      <c r="G79" s="637">
        <v>2</v>
      </c>
      <c r="H79" s="627">
        <f>R.HN!C87</f>
        <v>0</v>
      </c>
      <c r="I79" s="300">
        <f>'R.GUI MAIL'!Z14</f>
        <v>0</v>
      </c>
      <c r="J79" s="629"/>
      <c r="K79" s="630" t="s">
        <v>8</v>
      </c>
      <c r="L79" s="1146">
        <f>'R.GUI MAIL'!AC14</f>
        <v>0</v>
      </c>
      <c r="M79" s="1148" t="s">
        <v>9</v>
      </c>
      <c r="N79" s="628">
        <f>R.HN!D87</f>
        <v>0</v>
      </c>
      <c r="O79" s="300">
        <f>'R.GUI MAIL'!Z30</f>
        <v>0.95</v>
      </c>
      <c r="P79" s="629"/>
      <c r="Q79" s="630" t="s">
        <v>8</v>
      </c>
      <c r="R79" s="1138">
        <f>'R.GUI MAIL'!AC30</f>
        <v>6.1700000000000053E-2</v>
      </c>
      <c r="S79" s="631" t="s">
        <v>9</v>
      </c>
      <c r="T79" s="628"/>
      <c r="U79" s="300">
        <f>'R.GUI MAIL'!Z46</f>
        <v>0</v>
      </c>
      <c r="V79" s="629"/>
      <c r="W79" s="630" t="s">
        <v>8</v>
      </c>
      <c r="X79" s="1138">
        <f>'R.GUI MAIL'!AC46</f>
        <v>0</v>
      </c>
      <c r="Y79" s="631" t="s">
        <v>9</v>
      </c>
    </row>
    <row r="80" spans="1:25" ht="30.75" customHeight="1">
      <c r="A80" s="623">
        <v>11</v>
      </c>
      <c r="B80" s="3879"/>
      <c r="C80" s="3880"/>
      <c r="D80" s="3881"/>
      <c r="E80" s="623" t="s">
        <v>5</v>
      </c>
      <c r="F80" s="1144" t="s">
        <v>617</v>
      </c>
      <c r="G80" s="646">
        <v>9</v>
      </c>
      <c r="H80" s="627">
        <f>R.HN!C88</f>
        <v>0</v>
      </c>
      <c r="I80" s="300">
        <f>'R.GUI MAIL'!Z15</f>
        <v>0</v>
      </c>
      <c r="J80" s="629"/>
      <c r="K80" s="630"/>
      <c r="L80" s="1138"/>
      <c r="M80" s="631"/>
      <c r="N80" s="628">
        <f>R.HN!D88</f>
        <v>0</v>
      </c>
      <c r="O80" s="300">
        <f>'R.GUI MAIL'!Z31</f>
        <v>10</v>
      </c>
      <c r="P80" s="629"/>
      <c r="Q80" s="630"/>
      <c r="R80" s="1138"/>
      <c r="S80" s="631"/>
      <c r="T80" s="628"/>
      <c r="U80" s="300">
        <f>'R.GUI MAIL'!Z47</f>
        <v>0</v>
      </c>
      <c r="V80" s="629"/>
      <c r="W80" s="630"/>
      <c r="X80" s="1138"/>
      <c r="Y80" s="631"/>
    </row>
    <row r="81" spans="1:25" ht="30.75" customHeight="1">
      <c r="A81" s="647"/>
      <c r="B81" s="1818"/>
      <c r="C81" s="648"/>
      <c r="D81" s="648"/>
      <c r="E81" s="648" t="s">
        <v>2</v>
      </c>
      <c r="F81" s="648"/>
      <c r="G81" s="648"/>
      <c r="H81" s="648"/>
      <c r="I81" s="648"/>
      <c r="J81" s="648"/>
      <c r="K81" s="648"/>
      <c r="L81" s="648"/>
      <c r="M81" s="648"/>
      <c r="N81" s="648"/>
      <c r="O81" s="648"/>
      <c r="P81" s="648"/>
      <c r="Q81" s="648"/>
      <c r="R81" s="648"/>
      <c r="S81" s="648"/>
      <c r="T81" s="648"/>
      <c r="U81" s="648"/>
      <c r="V81" s="648"/>
      <c r="W81" s="648"/>
      <c r="X81" s="648"/>
      <c r="Y81" s="1145"/>
    </row>
    <row r="82" spans="1:25" ht="30.75" customHeight="1">
      <c r="A82" s="649" t="s">
        <v>53</v>
      </c>
      <c r="B82" s="3861" t="s">
        <v>743</v>
      </c>
      <c r="C82" s="3862"/>
      <c r="D82" s="3863"/>
      <c r="E82" s="650" t="s">
        <v>744</v>
      </c>
      <c r="F82" s="650" t="s">
        <v>745</v>
      </c>
      <c r="G82" s="651" t="s">
        <v>736</v>
      </c>
      <c r="H82" s="652"/>
      <c r="I82" s="3871" t="s">
        <v>45</v>
      </c>
      <c r="J82" s="3872"/>
      <c r="K82" s="3872"/>
      <c r="L82" s="3873" t="s">
        <v>61</v>
      </c>
      <c r="M82" s="3874"/>
      <c r="N82" s="617"/>
      <c r="O82" s="3871" t="s">
        <v>45</v>
      </c>
      <c r="P82" s="3872"/>
      <c r="Q82" s="3872"/>
      <c r="R82" s="3873" t="s">
        <v>61</v>
      </c>
      <c r="S82" s="3874"/>
      <c r="T82" s="617"/>
      <c r="U82" s="3871" t="s">
        <v>45</v>
      </c>
      <c r="V82" s="3872"/>
      <c r="W82" s="3872"/>
      <c r="X82" s="3873" t="s">
        <v>61</v>
      </c>
      <c r="Y82" s="3874"/>
    </row>
    <row r="83" spans="1:25" ht="30.75" customHeight="1">
      <c r="A83" s="649">
        <v>1</v>
      </c>
      <c r="B83" s="3861" t="s">
        <v>746</v>
      </c>
      <c r="C83" s="3862"/>
      <c r="D83" s="3863"/>
      <c r="E83" s="653" t="s">
        <v>747</v>
      </c>
      <c r="F83" s="645" t="s">
        <v>1097</v>
      </c>
      <c r="G83" s="651"/>
      <c r="H83" s="652"/>
      <c r="I83" s="1490"/>
      <c r="J83" s="1491"/>
      <c r="K83" s="1491"/>
      <c r="L83" s="1492"/>
      <c r="M83" s="1493"/>
      <c r="N83" s="1494"/>
      <c r="O83" s="3802">
        <f>'R.GUI MAIL'!Z34</f>
        <v>0</v>
      </c>
      <c r="P83" s="3802"/>
      <c r="Q83" s="3802"/>
      <c r="R83" s="3802">
        <f>'R.GUI MAIL'!AC34</f>
        <v>60</v>
      </c>
      <c r="S83" s="3802"/>
      <c r="T83" s="3802"/>
      <c r="U83" s="3802">
        <f>'R.GUI MAIL'!Z50</f>
        <v>0</v>
      </c>
      <c r="V83" s="3802"/>
      <c r="W83" s="3802"/>
      <c r="X83" s="3802">
        <f>'R.GUI MAIL'!AC50</f>
        <v>0</v>
      </c>
      <c r="Y83" s="3802"/>
    </row>
    <row r="84" spans="1:25" ht="30.75" customHeight="1">
      <c r="A84" s="649">
        <v>2</v>
      </c>
      <c r="B84" s="3861" t="s">
        <v>748</v>
      </c>
      <c r="C84" s="3862"/>
      <c r="D84" s="3863"/>
      <c r="E84" s="653" t="s">
        <v>747</v>
      </c>
      <c r="F84" s="645" t="s">
        <v>749</v>
      </c>
      <c r="G84" s="654" t="e">
        <f>'[8]file goc'!G158</f>
        <v>#REF!</v>
      </c>
      <c r="H84" s="654"/>
      <c r="I84" s="3591">
        <f>'R.GUI MAIL'!Z18</f>
        <v>0</v>
      </c>
      <c r="J84" s="3592"/>
      <c r="K84" s="3592"/>
      <c r="L84" s="3591">
        <f>'R.GUI MAIL'!AC18</f>
        <v>0</v>
      </c>
      <c r="M84" s="3592"/>
      <c r="N84" s="1456"/>
      <c r="O84" s="3591">
        <f>'R.GUI MAIL'!Z35</f>
        <v>0</v>
      </c>
      <c r="P84" s="3592"/>
      <c r="Q84" s="3592"/>
      <c r="R84" s="3591">
        <f>'R.GUI MAIL'!AC35</f>
        <v>66</v>
      </c>
      <c r="S84" s="3593"/>
      <c r="T84" s="1494"/>
      <c r="U84" s="3591">
        <f>'R.GUI MAIL'!Z51</f>
        <v>0</v>
      </c>
      <c r="V84" s="3592"/>
      <c r="W84" s="3593"/>
      <c r="X84" s="3591">
        <f>'R.GUI MAIL'!AC51</f>
        <v>0</v>
      </c>
      <c r="Y84" s="3593"/>
    </row>
    <row r="85" spans="1:25" ht="30.75" hidden="1" customHeight="1">
      <c r="A85" s="649">
        <v>3</v>
      </c>
      <c r="B85" s="3861" t="s">
        <v>750</v>
      </c>
      <c r="C85" s="3862"/>
      <c r="D85" s="3863"/>
      <c r="E85" s="653" t="s">
        <v>747</v>
      </c>
      <c r="F85" s="645" t="s">
        <v>749</v>
      </c>
      <c r="G85" s="655" t="e">
        <f>'[8]file goc'!G159</f>
        <v>#REF!</v>
      </c>
      <c r="H85" s="654"/>
      <c r="I85" s="3591">
        <f>'R.GUI MAIL'!Z19</f>
        <v>0</v>
      </c>
      <c r="J85" s="3592"/>
      <c r="K85" s="3592"/>
      <c r="L85" s="3591">
        <f>'R.GUI MAIL'!AC19</f>
        <v>0</v>
      </c>
      <c r="M85" s="3593"/>
      <c r="N85" s="1494"/>
      <c r="O85" s="1495"/>
      <c r="P85" s="1496"/>
      <c r="Q85" s="1496"/>
      <c r="R85" s="1497"/>
      <c r="S85" s="1498"/>
      <c r="T85" s="1494"/>
      <c r="U85" s="1499"/>
      <c r="V85" s="1499"/>
      <c r="W85" s="1499"/>
      <c r="X85" s="1499"/>
      <c r="Y85" s="1499"/>
    </row>
    <row r="86" spans="1:25" ht="30.75" customHeight="1">
      <c r="A86" s="649">
        <v>6</v>
      </c>
      <c r="B86" s="3861" t="s">
        <v>751</v>
      </c>
      <c r="C86" s="3862"/>
      <c r="D86" s="3863"/>
      <c r="E86" s="653" t="s">
        <v>747</v>
      </c>
      <c r="F86" s="645" t="s">
        <v>752</v>
      </c>
      <c r="G86" s="655" t="e">
        <f>'[8]file goc'!G162</f>
        <v>#REF!</v>
      </c>
      <c r="H86" s="654"/>
      <c r="I86" s="3591">
        <f>'R.GUI MAIL'!Z20</f>
        <v>0</v>
      </c>
      <c r="J86" s="3592"/>
      <c r="K86" s="3592"/>
      <c r="L86" s="3591">
        <f>'R.GUI MAIL'!AC20</f>
        <v>0</v>
      </c>
      <c r="M86" s="3593"/>
      <c r="N86" s="1494"/>
      <c r="O86" s="3591">
        <f>'R.GUI MAIL'!Z36</f>
        <v>0</v>
      </c>
      <c r="P86" s="3592"/>
      <c r="Q86" s="3592"/>
      <c r="R86" s="3591">
        <f>'R.GUI MAIL'!AC36</f>
        <v>81</v>
      </c>
      <c r="S86" s="3593"/>
      <c r="T86" s="1494"/>
      <c r="U86" s="3591">
        <f>'R.GUI MAIL'!Z52</f>
        <v>0</v>
      </c>
      <c r="V86" s="3592"/>
      <c r="W86" s="3593"/>
      <c r="X86" s="3591">
        <f>'R.GUI MAIL'!AC52</f>
        <v>0</v>
      </c>
      <c r="Y86" s="3593"/>
    </row>
    <row r="87" spans="1:25" ht="33" customHeight="1">
      <c r="A87" s="3885" t="s">
        <v>1452</v>
      </c>
      <c r="B87" s="3886"/>
      <c r="C87" s="3858" t="str">
        <f>MENU!$AC$9</f>
        <v>Thứ 5,</v>
      </c>
      <c r="D87" s="3858"/>
      <c r="E87" s="3859" t="str">
        <f>MENU!$AD$9</f>
        <v>2024/08/01</v>
      </c>
      <c r="F87" s="3860"/>
      <c r="G87" s="3860"/>
      <c r="H87" s="3860"/>
      <c r="I87" s="1995" t="s">
        <v>732</v>
      </c>
      <c r="J87" s="1995"/>
      <c r="K87" s="1995"/>
      <c r="L87" s="1995"/>
      <c r="M87" s="1995"/>
      <c r="N87" s="1995"/>
      <c r="O87" s="1995"/>
      <c r="P87" s="1995"/>
      <c r="Q87" s="1995"/>
      <c r="R87" s="1995"/>
      <c r="S87" s="1995"/>
      <c r="T87" s="1995"/>
      <c r="U87" s="1995"/>
      <c r="V87" s="1995"/>
      <c r="W87" s="1995"/>
      <c r="X87" s="1995"/>
      <c r="Y87" s="1996"/>
    </row>
    <row r="88" spans="1:25" ht="27" customHeight="1">
      <c r="A88" s="3838" t="s">
        <v>7</v>
      </c>
      <c r="B88" s="3841" t="s">
        <v>733</v>
      </c>
      <c r="C88" s="3842"/>
      <c r="D88" s="3843"/>
      <c r="E88" s="3850" t="s">
        <v>734</v>
      </c>
      <c r="F88" s="3853" t="s">
        <v>735</v>
      </c>
      <c r="G88" s="615"/>
      <c r="H88" s="616"/>
      <c r="I88" s="3856" t="s">
        <v>736</v>
      </c>
      <c r="J88" s="3857"/>
      <c r="K88" s="3857"/>
      <c r="L88" s="3857"/>
      <c r="M88" s="3857"/>
      <c r="N88" s="617"/>
      <c r="O88" s="3856" t="s">
        <v>1279</v>
      </c>
      <c r="P88" s="3857"/>
      <c r="Q88" s="3857"/>
      <c r="R88" s="3857"/>
      <c r="S88" s="3857"/>
      <c r="T88" s="617"/>
      <c r="U88" s="3856" t="s">
        <v>1280</v>
      </c>
      <c r="V88" s="3857"/>
      <c r="W88" s="3857"/>
      <c r="X88" s="3857"/>
      <c r="Y88" s="3857"/>
    </row>
    <row r="89" spans="1:25" ht="17.25">
      <c r="A89" s="3839"/>
      <c r="B89" s="3844"/>
      <c r="C89" s="3845"/>
      <c r="D89" s="3846"/>
      <c r="E89" s="3851"/>
      <c r="F89" s="3854"/>
      <c r="G89" s="618" t="s">
        <v>420</v>
      </c>
      <c r="H89" s="619"/>
      <c r="I89" s="3829" t="s">
        <v>737</v>
      </c>
      <c r="J89" s="621" t="s">
        <v>738</v>
      </c>
      <c r="K89" s="3831" t="s">
        <v>1</v>
      </c>
      <c r="L89" s="3831"/>
      <c r="M89" s="3832"/>
      <c r="N89" s="620"/>
      <c r="O89" s="3829" t="s">
        <v>737</v>
      </c>
      <c r="P89" s="621" t="s">
        <v>738</v>
      </c>
      <c r="Q89" s="3831" t="s">
        <v>1</v>
      </c>
      <c r="R89" s="3831"/>
      <c r="S89" s="3832"/>
      <c r="T89" s="619"/>
      <c r="U89" s="3829" t="s">
        <v>737</v>
      </c>
      <c r="V89" s="621" t="s">
        <v>738</v>
      </c>
      <c r="W89" s="3831" t="s">
        <v>1</v>
      </c>
      <c r="X89" s="3831"/>
      <c r="Y89" s="3832"/>
    </row>
    <row r="90" spans="1:25" ht="17.25">
      <c r="A90" s="3840"/>
      <c r="B90" s="3847"/>
      <c r="C90" s="3848"/>
      <c r="D90" s="3849"/>
      <c r="E90" s="3852"/>
      <c r="F90" s="3855"/>
      <c r="G90" s="618"/>
      <c r="H90" s="619"/>
      <c r="I90" s="3830"/>
      <c r="J90" s="622"/>
      <c r="K90" s="3833"/>
      <c r="L90" s="3833"/>
      <c r="M90" s="3834"/>
      <c r="N90" s="620"/>
      <c r="O90" s="3830"/>
      <c r="P90" s="622"/>
      <c r="Q90" s="3833"/>
      <c r="R90" s="3833"/>
      <c r="S90" s="3834"/>
      <c r="T90" s="619"/>
      <c r="U90" s="3830"/>
      <c r="V90" s="622"/>
      <c r="W90" s="3833"/>
      <c r="X90" s="3833"/>
      <c r="Y90" s="3834"/>
    </row>
    <row r="91" spans="1:25" ht="33.75" customHeight="1">
      <c r="A91" s="623">
        <v>1</v>
      </c>
      <c r="B91" s="3861" t="s">
        <v>739</v>
      </c>
      <c r="C91" s="3862"/>
      <c r="D91" s="3863"/>
      <c r="E91" s="624" t="s">
        <v>429</v>
      </c>
      <c r="F91" s="625" t="s">
        <v>725</v>
      </c>
      <c r="G91" s="626">
        <v>40</v>
      </c>
      <c r="H91" s="627">
        <f>R.HN!C95</f>
        <v>0</v>
      </c>
      <c r="I91" s="633"/>
      <c r="J91" s="642"/>
      <c r="K91" s="643"/>
      <c r="L91" s="1137"/>
      <c r="M91" s="644"/>
      <c r="N91" s="628">
        <f>R.HN!D95</f>
        <v>0</v>
      </c>
      <c r="O91" s="300">
        <f>'R.GUI MAIL'!AF25</f>
        <v>54</v>
      </c>
      <c r="P91" s="629"/>
      <c r="Q91" s="630" t="s">
        <v>8</v>
      </c>
      <c r="R91" s="1138">
        <f>'R.GUI MAIL'!AI25</f>
        <v>0</v>
      </c>
      <c r="S91" s="631" t="s">
        <v>9</v>
      </c>
      <c r="T91" s="628"/>
      <c r="U91" s="300">
        <f>'R.GUI MAIL'!AF41</f>
        <v>0</v>
      </c>
      <c r="V91" s="629"/>
      <c r="W91" s="630" t="s">
        <v>8</v>
      </c>
      <c r="X91" s="1139">
        <f>'R.GUI MAIL'!AI41</f>
        <v>0</v>
      </c>
      <c r="Y91" s="631" t="s">
        <v>9</v>
      </c>
    </row>
    <row r="92" spans="1:25" ht="33.75" customHeight="1">
      <c r="A92" s="623">
        <v>2</v>
      </c>
      <c r="B92" s="3861" t="s">
        <v>423</v>
      </c>
      <c r="C92" s="3862"/>
      <c r="D92" s="3863"/>
      <c r="E92" s="632" t="s">
        <v>3</v>
      </c>
      <c r="F92" s="625" t="s">
        <v>424</v>
      </c>
      <c r="G92" s="626">
        <v>22</v>
      </c>
      <c r="H92" s="627">
        <f>R.HN!C96</f>
        <v>0</v>
      </c>
      <c r="I92" s="300">
        <f>'R.GUI MAIL'!AF6</f>
        <v>0</v>
      </c>
      <c r="J92" s="629"/>
      <c r="K92" s="630" t="s">
        <v>8</v>
      </c>
      <c r="L92" s="1138">
        <f>'R.GUI MAIL'!AI6</f>
        <v>0</v>
      </c>
      <c r="M92" s="1148" t="s">
        <v>10</v>
      </c>
      <c r="N92" s="628">
        <f>R.HN!D96</f>
        <v>0</v>
      </c>
      <c r="O92" s="300">
        <f>'R.GUI MAIL'!AF26</f>
        <v>9.49</v>
      </c>
      <c r="P92" s="629"/>
      <c r="Q92" s="630" t="s">
        <v>8</v>
      </c>
      <c r="R92" s="1138">
        <f>'R.GUI MAIL'!AI26</f>
        <v>245.03281249999998</v>
      </c>
      <c r="S92" s="631" t="s">
        <v>10</v>
      </c>
      <c r="T92" s="628"/>
      <c r="U92" s="300">
        <f>'R.GUI MAIL'!AF42</f>
        <v>0</v>
      </c>
      <c r="V92" s="300"/>
      <c r="W92" s="1149" t="s">
        <v>8</v>
      </c>
      <c r="X92" s="1138">
        <f>'R.GUI MAIL'!AI42</f>
        <v>0</v>
      </c>
      <c r="Y92" s="1148" t="s">
        <v>10</v>
      </c>
    </row>
    <row r="93" spans="1:25" ht="33.75" hidden="1" customHeight="1">
      <c r="A93" s="623">
        <v>3</v>
      </c>
      <c r="B93" s="3864" t="s">
        <v>389</v>
      </c>
      <c r="C93" s="3865"/>
      <c r="D93" s="3866"/>
      <c r="E93" s="632" t="s">
        <v>3</v>
      </c>
      <c r="F93" s="625" t="s">
        <v>424</v>
      </c>
      <c r="G93" s="626"/>
      <c r="H93" s="627"/>
      <c r="I93" s="1096">
        <f>'R.GUI MAIL'!AF7</f>
        <v>0</v>
      </c>
      <c r="J93" s="629"/>
      <c r="K93" s="630" t="s">
        <v>8</v>
      </c>
      <c r="L93" s="1138">
        <f>'R.GUI MAIL'!AI7</f>
        <v>292.1875</v>
      </c>
      <c r="M93" s="1148" t="s">
        <v>10</v>
      </c>
      <c r="N93" s="628"/>
      <c r="O93" s="633"/>
      <c r="P93" s="633"/>
      <c r="Q93" s="634"/>
      <c r="R93" s="1137"/>
      <c r="S93" s="635"/>
      <c r="T93" s="636"/>
      <c r="U93" s="1096">
        <f>'R.GUI MAIL'!AF42</f>
        <v>0</v>
      </c>
      <c r="V93" s="300"/>
      <c r="W93" s="1149" t="s">
        <v>8</v>
      </c>
      <c r="X93" s="1138">
        <f>'R.GUI MAIL'!AI42</f>
        <v>0</v>
      </c>
      <c r="Y93" s="1148" t="s">
        <v>10</v>
      </c>
    </row>
    <row r="94" spans="1:25" ht="33.75" customHeight="1">
      <c r="A94" s="623">
        <v>4</v>
      </c>
      <c r="B94" s="3867" t="s">
        <v>740</v>
      </c>
      <c r="C94" s="1140" t="s">
        <v>741</v>
      </c>
      <c r="D94" s="1141">
        <f>R.HN!$C$12</f>
        <v>3</v>
      </c>
      <c r="E94" s="3870" t="s">
        <v>429</v>
      </c>
      <c r="F94" s="625" t="s">
        <v>727</v>
      </c>
      <c r="G94" s="626">
        <v>50</v>
      </c>
      <c r="H94" s="627">
        <f>R.HN!C97</f>
        <v>0</v>
      </c>
      <c r="I94" s="300">
        <f>'R.GUI MAIL'!AF8</f>
        <v>0</v>
      </c>
      <c r="J94" s="629"/>
      <c r="K94" s="630" t="s">
        <v>8</v>
      </c>
      <c r="L94" s="1138">
        <f>'R.GUI MAIL'!AI8</f>
        <v>0</v>
      </c>
      <c r="M94" s="1148" t="s">
        <v>9</v>
      </c>
      <c r="N94" s="628">
        <f>R.HN!D97</f>
        <v>0</v>
      </c>
      <c r="O94" s="300">
        <f>'R.GUI MAIL'!AF27</f>
        <v>47</v>
      </c>
      <c r="P94" s="629"/>
      <c r="Q94" s="630" t="s">
        <v>8</v>
      </c>
      <c r="R94" s="1138">
        <f>'R.GUI MAIL'!AI27</f>
        <v>14.805</v>
      </c>
      <c r="S94" s="631" t="s">
        <v>9</v>
      </c>
      <c r="T94" s="628"/>
      <c r="U94" s="300">
        <f>'R.GUI MAIL'!AF43</f>
        <v>0</v>
      </c>
      <c r="V94" s="300"/>
      <c r="W94" s="1149" t="s">
        <v>8</v>
      </c>
      <c r="X94" s="1138">
        <f>'R.GUI MAIL'!AI43</f>
        <v>0</v>
      </c>
      <c r="Y94" s="1148" t="s">
        <v>9</v>
      </c>
    </row>
    <row r="95" spans="1:25" ht="33.75" customHeight="1">
      <c r="A95" s="623">
        <v>5</v>
      </c>
      <c r="B95" s="3868"/>
      <c r="C95" s="1142"/>
      <c r="D95" s="1143"/>
      <c r="E95" s="3870"/>
      <c r="F95" s="625" t="s">
        <v>723</v>
      </c>
      <c r="G95" s="637">
        <v>6</v>
      </c>
      <c r="H95" s="627">
        <f>R.HN!C98</f>
        <v>0</v>
      </c>
      <c r="I95" s="300">
        <f>'R.GUI MAIL'!AF9</f>
        <v>0</v>
      </c>
      <c r="J95" s="629"/>
      <c r="K95" s="630" t="s">
        <v>8</v>
      </c>
      <c r="L95" s="1138">
        <f>'R.GUI MAIL'!AI9</f>
        <v>0</v>
      </c>
      <c r="M95" s="1148" t="s">
        <v>9</v>
      </c>
      <c r="N95" s="628">
        <f>R.HN!D98</f>
        <v>0</v>
      </c>
      <c r="O95" s="300">
        <f>'R.GUI MAIL'!AF28</f>
        <v>13.428571428571429</v>
      </c>
      <c r="P95" s="629"/>
      <c r="Q95" s="630"/>
      <c r="R95" s="1138">
        <f>'R.GUI MAIL'!AI28</f>
        <v>0</v>
      </c>
      <c r="S95" s="631" t="s">
        <v>9</v>
      </c>
      <c r="T95" s="628"/>
      <c r="U95" s="300">
        <f>'R.GUI MAIL'!AF44</f>
        <v>0</v>
      </c>
      <c r="V95" s="300"/>
      <c r="W95" s="1149"/>
      <c r="X95" s="1138">
        <f>'R.GUI MAIL'!AI44</f>
        <v>0</v>
      </c>
      <c r="Y95" s="1148" t="s">
        <v>9</v>
      </c>
    </row>
    <row r="96" spans="1:25" ht="33.75" customHeight="1">
      <c r="A96" s="623">
        <v>6</v>
      </c>
      <c r="B96" s="3868"/>
      <c r="C96" s="1142"/>
      <c r="D96" s="1143"/>
      <c r="E96" s="3870"/>
      <c r="F96" s="625" t="s">
        <v>611</v>
      </c>
      <c r="G96" s="637">
        <v>0.4</v>
      </c>
      <c r="H96" s="627">
        <f>R.HN!C99</f>
        <v>0</v>
      </c>
      <c r="I96" s="412">
        <f>'R.GUI MAIL'!AF10</f>
        <v>0</v>
      </c>
      <c r="J96" s="629"/>
      <c r="K96" s="630" t="s">
        <v>8</v>
      </c>
      <c r="L96" s="1138">
        <f>'R.GUI MAIL'!AI10</f>
        <v>0</v>
      </c>
      <c r="M96" s="1148" t="s">
        <v>9</v>
      </c>
      <c r="N96" s="628">
        <f>R.HN!D99</f>
        <v>0</v>
      </c>
      <c r="O96" s="412">
        <f>'R.GUI MAIL'!AF29</f>
        <v>0.2</v>
      </c>
      <c r="P96" s="629"/>
      <c r="Q96" s="630"/>
      <c r="R96" s="1138">
        <f>'R.GUI MAIL'!AI29</f>
        <v>0</v>
      </c>
      <c r="S96" s="631" t="s">
        <v>9</v>
      </c>
      <c r="T96" s="628"/>
      <c r="U96" s="412">
        <f>'R.GUI MAIL'!AF45</f>
        <v>0</v>
      </c>
      <c r="V96" s="300"/>
      <c r="W96" s="1149"/>
      <c r="X96" s="1138">
        <f>'R.GUI MAIL'!AI45</f>
        <v>0</v>
      </c>
      <c r="Y96" s="1148" t="s">
        <v>9</v>
      </c>
    </row>
    <row r="97" spans="1:25" ht="33.75" hidden="1" customHeight="1">
      <c r="A97" s="623">
        <v>7</v>
      </c>
      <c r="B97" s="3867" t="s">
        <v>740</v>
      </c>
      <c r="C97" s="1140" t="s">
        <v>741</v>
      </c>
      <c r="D97" s="1141">
        <f>R.HN!$C$13</f>
        <v>4</v>
      </c>
      <c r="E97" s="3870" t="s">
        <v>429</v>
      </c>
      <c r="F97" s="625" t="s">
        <v>727</v>
      </c>
      <c r="G97" s="626">
        <v>50</v>
      </c>
      <c r="H97" s="627">
        <f>R.HN!C100</f>
        <v>0</v>
      </c>
      <c r="I97" s="300">
        <f>'R.GUI MAIL'!AF11</f>
        <v>0</v>
      </c>
      <c r="J97" s="654"/>
      <c r="K97" s="630" t="s">
        <v>8</v>
      </c>
      <c r="L97" s="1138">
        <f>'R.GUI MAIL'!AI11</f>
        <v>0</v>
      </c>
      <c r="M97" s="1148" t="s">
        <v>9</v>
      </c>
      <c r="N97" s="628">
        <f>R.HN!D100</f>
        <v>0</v>
      </c>
      <c r="O97" s="633"/>
      <c r="P97" s="642"/>
      <c r="Q97" s="643"/>
      <c r="R97" s="1137"/>
      <c r="S97" s="644"/>
      <c r="T97" s="641"/>
      <c r="U97" s="633"/>
      <c r="V97" s="633"/>
      <c r="W97" s="634"/>
      <c r="X97" s="1137"/>
      <c r="Y97" s="635"/>
    </row>
    <row r="98" spans="1:25" ht="33.75" hidden="1" customHeight="1">
      <c r="A98" s="623">
        <v>8</v>
      </c>
      <c r="B98" s="3868"/>
      <c r="C98" s="1142"/>
      <c r="D98" s="1143"/>
      <c r="E98" s="3870"/>
      <c r="F98" s="625" t="s">
        <v>723</v>
      </c>
      <c r="G98" s="637">
        <v>6</v>
      </c>
      <c r="H98" s="627">
        <f>R.HN!C101</f>
        <v>0</v>
      </c>
      <c r="I98" s="300">
        <f>'R.GUI MAIL'!AF12</f>
        <v>0</v>
      </c>
      <c r="J98" s="629"/>
      <c r="K98" s="630" t="s">
        <v>8</v>
      </c>
      <c r="L98" s="1138">
        <f>'R.GUI MAIL'!AI12</f>
        <v>0</v>
      </c>
      <c r="M98" s="1148" t="s">
        <v>9</v>
      </c>
      <c r="N98" s="628">
        <f>R.HN!D101</f>
        <v>0</v>
      </c>
      <c r="O98" s="633"/>
      <c r="P98" s="642"/>
      <c r="Q98" s="643"/>
      <c r="R98" s="1137"/>
      <c r="S98" s="644"/>
      <c r="T98" s="628"/>
      <c r="U98" s="633"/>
      <c r="V98" s="633"/>
      <c r="W98" s="634"/>
      <c r="X98" s="1137"/>
      <c r="Y98" s="635"/>
    </row>
    <row r="99" spans="1:25" ht="33.75" hidden="1" customHeight="1">
      <c r="A99" s="623">
        <v>9</v>
      </c>
      <c r="B99" s="3868"/>
      <c r="C99" s="1142"/>
      <c r="D99" s="1143"/>
      <c r="E99" s="3870"/>
      <c r="F99" s="625" t="s">
        <v>611</v>
      </c>
      <c r="G99" s="637">
        <v>0.4</v>
      </c>
      <c r="H99" s="627">
        <f>R.HN!C102</f>
        <v>0</v>
      </c>
      <c r="I99" s="412">
        <f>'R.GUI MAIL'!AF13</f>
        <v>0</v>
      </c>
      <c r="J99" s="654"/>
      <c r="K99" s="630" t="s">
        <v>8</v>
      </c>
      <c r="L99" s="1138">
        <f>'R.GUI MAIL'!AI13</f>
        <v>0</v>
      </c>
      <c r="M99" s="1148" t="s">
        <v>9</v>
      </c>
      <c r="N99" s="628">
        <f>R.HN!D102</f>
        <v>0</v>
      </c>
      <c r="O99" s="642"/>
      <c r="P99" s="642"/>
      <c r="Q99" s="643"/>
      <c r="R99" s="1137"/>
      <c r="S99" s="644"/>
      <c r="T99" s="641"/>
      <c r="U99" s="642"/>
      <c r="V99" s="642"/>
      <c r="W99" s="643"/>
      <c r="X99" s="1137"/>
      <c r="Y99" s="644"/>
    </row>
    <row r="100" spans="1:25" ht="33.75" customHeight="1">
      <c r="A100" s="623">
        <v>10</v>
      </c>
      <c r="B100" s="3864" t="s">
        <v>742</v>
      </c>
      <c r="C100" s="3865"/>
      <c r="D100" s="3866"/>
      <c r="E100" s="623" t="s">
        <v>429</v>
      </c>
      <c r="F100" s="645" t="s">
        <v>439</v>
      </c>
      <c r="G100" s="637">
        <v>2</v>
      </c>
      <c r="H100" s="627">
        <f>R.HN!C109</f>
        <v>0</v>
      </c>
      <c r="I100" s="300">
        <f>'R.GUI MAIL'!AF14</f>
        <v>0</v>
      </c>
      <c r="J100" s="629"/>
      <c r="K100" s="630" t="s">
        <v>8</v>
      </c>
      <c r="L100" s="1146">
        <f>'R.GUI MAIL'!AI14</f>
        <v>0</v>
      </c>
      <c r="M100" s="1148" t="s">
        <v>9</v>
      </c>
      <c r="N100" s="628">
        <f>R.HN!D109</f>
        <v>0</v>
      </c>
      <c r="O100" s="300">
        <f>'R.GUI MAIL'!AF30</f>
        <v>0.95</v>
      </c>
      <c r="P100" s="629"/>
      <c r="Q100" s="630" t="s">
        <v>8</v>
      </c>
      <c r="R100" s="1138">
        <f>'R.GUI MAIL'!AI30</f>
        <v>6.1700000000000053E-2</v>
      </c>
      <c r="S100" s="631" t="s">
        <v>9</v>
      </c>
      <c r="T100" s="628"/>
      <c r="U100" s="300">
        <f>'R.GUI MAIL'!AF46</f>
        <v>0</v>
      </c>
      <c r="V100" s="300"/>
      <c r="W100" s="1149" t="s">
        <v>8</v>
      </c>
      <c r="X100" s="1138">
        <f>'R.GUI MAIL'!AI46</f>
        <v>0</v>
      </c>
      <c r="Y100" s="1148" t="s">
        <v>9</v>
      </c>
    </row>
    <row r="101" spans="1:25" ht="33.75" customHeight="1">
      <c r="A101" s="623">
        <v>11</v>
      </c>
      <c r="B101" s="3879"/>
      <c r="C101" s="3880"/>
      <c r="D101" s="3881"/>
      <c r="E101" s="623" t="s">
        <v>5</v>
      </c>
      <c r="F101" s="1144" t="s">
        <v>617</v>
      </c>
      <c r="G101" s="646">
        <v>9</v>
      </c>
      <c r="H101" s="627">
        <f>R.HN!C110</f>
        <v>0</v>
      </c>
      <c r="I101" s="300">
        <f>'R.GUI MAIL'!AF15</f>
        <v>0</v>
      </c>
      <c r="J101" s="629"/>
      <c r="K101" s="630"/>
      <c r="L101" s="1138"/>
      <c r="M101" s="631"/>
      <c r="N101" s="628">
        <f>R.HN!D110</f>
        <v>0</v>
      </c>
      <c r="O101" s="300">
        <f>'R.GUI MAIL'!AF31</f>
        <v>10</v>
      </c>
      <c r="P101" s="629"/>
      <c r="Q101" s="630"/>
      <c r="R101" s="1138">
        <f>'R.GUI MAIL'!AI31</f>
        <v>0</v>
      </c>
      <c r="S101" s="631"/>
      <c r="T101" s="628"/>
      <c r="U101" s="300">
        <f>'R.GUI MAIL'!AF47</f>
        <v>0</v>
      </c>
      <c r="V101" s="300"/>
      <c r="W101" s="1149"/>
      <c r="X101" s="1138"/>
      <c r="Y101" s="1148"/>
    </row>
    <row r="102" spans="1:25" ht="33.75" customHeight="1">
      <c r="A102" s="647"/>
      <c r="B102" s="1818"/>
      <c r="C102" s="648"/>
      <c r="D102" s="648"/>
      <c r="E102" s="648" t="s">
        <v>2</v>
      </c>
      <c r="F102" s="648"/>
      <c r="G102" s="648"/>
      <c r="H102" s="648"/>
      <c r="I102" s="648"/>
      <c r="J102" s="648"/>
      <c r="K102" s="648"/>
      <c r="L102" s="648"/>
      <c r="M102" s="648"/>
      <c r="N102" s="648"/>
      <c r="O102" s="648"/>
      <c r="P102" s="648"/>
      <c r="Q102" s="648"/>
      <c r="R102" s="648"/>
      <c r="S102" s="648"/>
      <c r="T102" s="648"/>
      <c r="U102" s="648"/>
      <c r="V102" s="648"/>
      <c r="W102" s="648"/>
      <c r="X102" s="648"/>
      <c r="Y102" s="1145"/>
    </row>
    <row r="103" spans="1:25" ht="33.75" customHeight="1">
      <c r="A103" s="649" t="s">
        <v>53</v>
      </c>
      <c r="B103" s="3861" t="s">
        <v>743</v>
      </c>
      <c r="C103" s="3862"/>
      <c r="D103" s="3863"/>
      <c r="E103" s="650" t="s">
        <v>744</v>
      </c>
      <c r="F103" s="650" t="s">
        <v>745</v>
      </c>
      <c r="G103" s="651" t="s">
        <v>736</v>
      </c>
      <c r="H103" s="652"/>
      <c r="I103" s="3871" t="s">
        <v>45</v>
      </c>
      <c r="J103" s="3873"/>
      <c r="K103" s="3873"/>
      <c r="L103" s="3873" t="s">
        <v>61</v>
      </c>
      <c r="M103" s="3874"/>
      <c r="N103" s="617"/>
      <c r="O103" s="3871" t="s">
        <v>45</v>
      </c>
      <c r="P103" s="3873"/>
      <c r="Q103" s="3873"/>
      <c r="R103" s="3873" t="s">
        <v>61</v>
      </c>
      <c r="S103" s="3874"/>
      <c r="T103" s="617"/>
      <c r="U103" s="3871" t="s">
        <v>45</v>
      </c>
      <c r="V103" s="3872"/>
      <c r="W103" s="3872"/>
      <c r="X103" s="3873" t="s">
        <v>61</v>
      </c>
      <c r="Y103" s="3874"/>
    </row>
    <row r="104" spans="1:25" ht="33.75" customHeight="1">
      <c r="A104" s="649">
        <v>1</v>
      </c>
      <c r="B104" s="3861" t="s">
        <v>746</v>
      </c>
      <c r="C104" s="3862"/>
      <c r="D104" s="3863"/>
      <c r="E104" s="653" t="s">
        <v>747</v>
      </c>
      <c r="F104" s="645" t="s">
        <v>1097</v>
      </c>
      <c r="G104" s="651"/>
      <c r="H104" s="652"/>
      <c r="I104" s="1495"/>
      <c r="J104" s="1496"/>
      <c r="K104" s="1496"/>
      <c r="L104" s="1492"/>
      <c r="M104" s="1493"/>
      <c r="N104" s="1494"/>
      <c r="O104" s="3802">
        <f>'R.GUI MAIL'!AF34</f>
        <v>0</v>
      </c>
      <c r="P104" s="3802"/>
      <c r="Q104" s="3802"/>
      <c r="R104" s="3802">
        <v>59</v>
      </c>
      <c r="S104" s="3802"/>
      <c r="T104" s="3802"/>
      <c r="U104" s="3802">
        <f>'R.GUI MAIL'!AF50</f>
        <v>0</v>
      </c>
      <c r="V104" s="3802"/>
      <c r="W104" s="3802"/>
      <c r="X104" s="3802">
        <f>'R.GUI MAIL'!AI50</f>
        <v>0</v>
      </c>
      <c r="Y104" s="3802"/>
    </row>
    <row r="105" spans="1:25" ht="33.75" customHeight="1">
      <c r="A105" s="649">
        <v>2</v>
      </c>
      <c r="B105" s="3861" t="s">
        <v>748</v>
      </c>
      <c r="C105" s="3862"/>
      <c r="D105" s="3863"/>
      <c r="E105" s="653" t="s">
        <v>747</v>
      </c>
      <c r="F105" s="645" t="s">
        <v>749</v>
      </c>
      <c r="G105" s="654" t="e">
        <f>'[8]file goc'!G180</f>
        <v>#REF!</v>
      </c>
      <c r="H105" s="654"/>
      <c r="I105" s="3591">
        <f>'R.GUI MAIL'!AF18</f>
        <v>0</v>
      </c>
      <c r="J105" s="3592"/>
      <c r="K105" s="3592"/>
      <c r="L105" s="3591">
        <f>'R.GUI MAIL'!AI18</f>
        <v>0</v>
      </c>
      <c r="M105" s="3592"/>
      <c r="N105" s="1456"/>
      <c r="O105" s="3591">
        <f>'R.GUI MAIL'!AF35</f>
        <v>0</v>
      </c>
      <c r="P105" s="3592"/>
      <c r="Q105" s="3592"/>
      <c r="R105" s="3591">
        <v>67</v>
      </c>
      <c r="S105" s="3593"/>
      <c r="T105" s="1494"/>
      <c r="U105" s="3591">
        <f>'R.GUI MAIL'!AF51</f>
        <v>0</v>
      </c>
      <c r="V105" s="3592"/>
      <c r="W105" s="3593"/>
      <c r="X105" s="3591">
        <f>'R.GUI MAIL'!AI51</f>
        <v>0</v>
      </c>
      <c r="Y105" s="3593"/>
    </row>
    <row r="106" spans="1:25" ht="33.75" hidden="1" customHeight="1">
      <c r="A106" s="649">
        <v>3</v>
      </c>
      <c r="B106" s="3861" t="s">
        <v>750</v>
      </c>
      <c r="C106" s="3862"/>
      <c r="D106" s="3863"/>
      <c r="E106" s="653" t="s">
        <v>747</v>
      </c>
      <c r="F106" s="645" t="s">
        <v>749</v>
      </c>
      <c r="G106" s="655" t="e">
        <f>'[8]file goc'!G181</f>
        <v>#REF!</v>
      </c>
      <c r="H106" s="654"/>
      <c r="I106" s="3591">
        <f>'R.GUI MAIL'!AF19</f>
        <v>0</v>
      </c>
      <c r="J106" s="3592"/>
      <c r="K106" s="3592"/>
      <c r="L106" s="3591">
        <f>'R.GUI MAIL'!AI19</f>
        <v>0</v>
      </c>
      <c r="M106" s="3593"/>
      <c r="N106" s="1494"/>
      <c r="O106" s="1495"/>
      <c r="P106" s="1496"/>
      <c r="Q106" s="1496"/>
      <c r="R106" s="1497"/>
      <c r="S106" s="1498"/>
      <c r="T106" s="1494"/>
      <c r="U106" s="1499"/>
      <c r="V106" s="1499"/>
      <c r="W106" s="1499"/>
      <c r="X106" s="1499"/>
      <c r="Y106" s="1499"/>
    </row>
    <row r="107" spans="1:25" ht="33.75" customHeight="1">
      <c r="A107" s="649">
        <v>6</v>
      </c>
      <c r="B107" s="3861" t="s">
        <v>751</v>
      </c>
      <c r="C107" s="3862"/>
      <c r="D107" s="3863"/>
      <c r="E107" s="653" t="s">
        <v>747</v>
      </c>
      <c r="F107" s="645" t="s">
        <v>752</v>
      </c>
      <c r="G107" s="655" t="e">
        <f>'[8]file goc'!G184</f>
        <v>#REF!</v>
      </c>
      <c r="H107" s="654"/>
      <c r="I107" s="3591">
        <f>'R.GUI MAIL'!AF20</f>
        <v>0</v>
      </c>
      <c r="J107" s="3592"/>
      <c r="K107" s="3592"/>
      <c r="L107" s="3591">
        <f>'R.GUI MAIL'!AI20</f>
        <v>0</v>
      </c>
      <c r="M107" s="3593"/>
      <c r="N107" s="1494"/>
      <c r="O107" s="3591">
        <f>'R.GUI MAIL'!AF36</f>
        <v>0</v>
      </c>
      <c r="P107" s="3592"/>
      <c r="Q107" s="3592"/>
      <c r="R107" s="3591">
        <v>84</v>
      </c>
      <c r="S107" s="3593"/>
      <c r="T107" s="1494"/>
      <c r="U107" s="3591">
        <f>'R.GUI MAIL'!AF52</f>
        <v>0</v>
      </c>
      <c r="V107" s="3592"/>
      <c r="W107" s="3593"/>
      <c r="X107" s="3591">
        <f>'R.GUI MAIL'!AI52</f>
        <v>0</v>
      </c>
      <c r="Y107" s="3593"/>
    </row>
    <row r="108" spans="1:25" ht="26.25" customHeight="1">
      <c r="A108" s="3885" t="s">
        <v>1456</v>
      </c>
      <c r="B108" s="3886"/>
      <c r="C108" s="3858" t="str">
        <f>MENU!$AC$9</f>
        <v>Thứ 5,</v>
      </c>
      <c r="D108" s="3858"/>
      <c r="E108" s="3859" t="str">
        <f>MENU!$AD$9</f>
        <v>2024/08/01</v>
      </c>
      <c r="F108" s="3860"/>
      <c r="G108" s="3860"/>
      <c r="H108" s="3860"/>
      <c r="I108" s="1995" t="s">
        <v>732</v>
      </c>
      <c r="J108" s="1995"/>
      <c r="K108" s="1995"/>
      <c r="L108" s="1995"/>
      <c r="M108" s="1995"/>
      <c r="N108" s="1995"/>
      <c r="O108" s="1995"/>
      <c r="P108" s="1995"/>
      <c r="Q108" s="1995"/>
      <c r="R108" s="1995"/>
      <c r="S108" s="1995"/>
      <c r="T108" s="1995"/>
      <c r="U108" s="1995"/>
      <c r="V108" s="1995"/>
      <c r="W108" s="1995"/>
      <c r="X108" s="1995"/>
      <c r="Y108" s="1996"/>
    </row>
    <row r="109" spans="1:25" ht="27" customHeight="1">
      <c r="A109" s="3838" t="s">
        <v>7</v>
      </c>
      <c r="B109" s="3841" t="s">
        <v>733</v>
      </c>
      <c r="C109" s="3842"/>
      <c r="D109" s="3843"/>
      <c r="E109" s="3850" t="s">
        <v>734</v>
      </c>
      <c r="F109" s="3853" t="s">
        <v>735</v>
      </c>
      <c r="G109" s="615"/>
      <c r="H109" s="616"/>
      <c r="I109" s="3856" t="s">
        <v>736</v>
      </c>
      <c r="J109" s="3857"/>
      <c r="K109" s="3857"/>
      <c r="L109" s="3857"/>
      <c r="M109" s="3857"/>
      <c r="N109" s="617"/>
      <c r="O109" s="3856" t="s">
        <v>1279</v>
      </c>
      <c r="P109" s="3857"/>
      <c r="Q109" s="3857"/>
      <c r="R109" s="3857"/>
      <c r="S109" s="3857"/>
      <c r="T109" s="617"/>
      <c r="U109" s="3856" t="s">
        <v>1280</v>
      </c>
      <c r="V109" s="3857"/>
      <c r="W109" s="3857"/>
      <c r="X109" s="3857"/>
      <c r="Y109" s="3857"/>
    </row>
    <row r="110" spans="1:25" ht="17.25">
      <c r="A110" s="3839"/>
      <c r="B110" s="3844"/>
      <c r="C110" s="3845"/>
      <c r="D110" s="3846"/>
      <c r="E110" s="3851"/>
      <c r="F110" s="3854"/>
      <c r="G110" s="618" t="s">
        <v>420</v>
      </c>
      <c r="H110" s="619"/>
      <c r="I110" s="3829" t="s">
        <v>737</v>
      </c>
      <c r="J110" s="621" t="s">
        <v>738</v>
      </c>
      <c r="K110" s="3831" t="s">
        <v>1</v>
      </c>
      <c r="L110" s="3831"/>
      <c r="M110" s="3832"/>
      <c r="N110" s="620"/>
      <c r="O110" s="3829" t="s">
        <v>737</v>
      </c>
      <c r="P110" s="621" t="s">
        <v>738</v>
      </c>
      <c r="Q110" s="3831" t="s">
        <v>1</v>
      </c>
      <c r="R110" s="3831"/>
      <c r="S110" s="3832"/>
      <c r="T110" s="619"/>
      <c r="U110" s="3829" t="s">
        <v>737</v>
      </c>
      <c r="V110" s="621" t="s">
        <v>738</v>
      </c>
      <c r="W110" s="3831" t="s">
        <v>1</v>
      </c>
      <c r="X110" s="3831"/>
      <c r="Y110" s="3832"/>
    </row>
    <row r="111" spans="1:25" ht="17.25">
      <c r="A111" s="3840"/>
      <c r="B111" s="3847"/>
      <c r="C111" s="3848"/>
      <c r="D111" s="3849"/>
      <c r="E111" s="3852"/>
      <c r="F111" s="3855"/>
      <c r="G111" s="618"/>
      <c r="H111" s="619"/>
      <c r="I111" s="3830"/>
      <c r="J111" s="622"/>
      <c r="K111" s="3833"/>
      <c r="L111" s="3833"/>
      <c r="M111" s="3834"/>
      <c r="N111" s="620"/>
      <c r="O111" s="3830"/>
      <c r="P111" s="622"/>
      <c r="Q111" s="3833"/>
      <c r="R111" s="3833"/>
      <c r="S111" s="3834"/>
      <c r="T111" s="619"/>
      <c r="U111" s="3830"/>
      <c r="V111" s="622"/>
      <c r="W111" s="3833"/>
      <c r="X111" s="3833"/>
      <c r="Y111" s="3834"/>
    </row>
    <row r="112" spans="1:25" ht="33.75" customHeight="1">
      <c r="A112" s="623">
        <v>1</v>
      </c>
      <c r="B112" s="3861" t="s">
        <v>739</v>
      </c>
      <c r="C112" s="3862"/>
      <c r="D112" s="3863"/>
      <c r="E112" s="624" t="s">
        <v>429</v>
      </c>
      <c r="F112" s="625" t="s">
        <v>725</v>
      </c>
      <c r="G112" s="626">
        <v>40</v>
      </c>
      <c r="H112" s="627">
        <f>R.HN!C117</f>
        <v>0</v>
      </c>
      <c r="I112" s="633"/>
      <c r="J112" s="642"/>
      <c r="K112" s="643"/>
      <c r="L112" s="1137"/>
      <c r="M112" s="644"/>
      <c r="N112" s="628">
        <f>R.HN!D117</f>
        <v>0</v>
      </c>
      <c r="O112" s="300">
        <f>'R.GUI MAIL'!AL25</f>
        <v>38</v>
      </c>
      <c r="P112" s="629"/>
      <c r="Q112" s="630" t="s">
        <v>8</v>
      </c>
      <c r="R112" s="1138">
        <f>'R.GUI MAIL'!AO25</f>
        <v>4.66</v>
      </c>
      <c r="S112" s="631" t="s">
        <v>9</v>
      </c>
      <c r="T112" s="628"/>
      <c r="U112" s="300">
        <f>'R.GUI MAIL'!AL41</f>
        <v>0</v>
      </c>
      <c r="V112" s="629"/>
      <c r="W112" s="630" t="s">
        <v>8</v>
      </c>
      <c r="X112" s="1139">
        <f>'R.GUI MAIL'!AO41</f>
        <v>0</v>
      </c>
      <c r="Y112" s="631" t="s">
        <v>9</v>
      </c>
    </row>
    <row r="113" spans="1:25" ht="33.75" customHeight="1">
      <c r="A113" s="623">
        <v>2</v>
      </c>
      <c r="B113" s="3861" t="s">
        <v>423</v>
      </c>
      <c r="C113" s="3862"/>
      <c r="D113" s="3863"/>
      <c r="E113" s="632" t="s">
        <v>3</v>
      </c>
      <c r="F113" s="625" t="s">
        <v>424</v>
      </c>
      <c r="G113" s="626">
        <v>22</v>
      </c>
      <c r="H113" s="627">
        <f>R.HN!C118</f>
        <v>0</v>
      </c>
      <c r="I113" s="300">
        <f>'R.GUI MAIL'!AL6</f>
        <v>0</v>
      </c>
      <c r="J113" s="629"/>
      <c r="K113" s="630" t="s">
        <v>8</v>
      </c>
      <c r="L113" s="1138">
        <f>'R.GUI MAIL'!AO6</f>
        <v>0</v>
      </c>
      <c r="M113" s="1148" t="s">
        <v>10</v>
      </c>
      <c r="N113" s="628">
        <f>R.HN!D118</f>
        <v>0</v>
      </c>
      <c r="O113" s="300">
        <f>'R.GUI MAIL'!AL26</f>
        <v>8.76</v>
      </c>
      <c r="P113" s="629"/>
      <c r="Q113" s="630" t="s">
        <v>8</v>
      </c>
      <c r="R113" s="1138">
        <f>'R.GUI MAIL'!AO26</f>
        <v>304.45937500000002</v>
      </c>
      <c r="S113" s="631" t="s">
        <v>10</v>
      </c>
      <c r="T113" s="628"/>
      <c r="U113" s="300">
        <f>'R.GUI MAIL'!AL42</f>
        <v>0</v>
      </c>
      <c r="V113" s="300"/>
      <c r="W113" s="1149" t="s">
        <v>8</v>
      </c>
      <c r="X113" s="1138">
        <f>'R.GUI MAIL'!AO42</f>
        <v>0</v>
      </c>
      <c r="Y113" s="1148" t="s">
        <v>10</v>
      </c>
    </row>
    <row r="114" spans="1:25" ht="33.75" hidden="1" customHeight="1">
      <c r="A114" s="623">
        <v>3</v>
      </c>
      <c r="B114" s="3864" t="s">
        <v>389</v>
      </c>
      <c r="C114" s="3865"/>
      <c r="D114" s="3866"/>
      <c r="E114" s="632" t="s">
        <v>3</v>
      </c>
      <c r="F114" s="625" t="s">
        <v>424</v>
      </c>
      <c r="G114" s="626"/>
      <c r="H114" s="627"/>
      <c r="I114" s="1096">
        <f>'R.GUI MAIL'!AL7</f>
        <v>0</v>
      </c>
      <c r="J114" s="629"/>
      <c r="K114" s="630" t="s">
        <v>8</v>
      </c>
      <c r="L114" s="1138">
        <f>'R.GUI MAIL'!AO7</f>
        <v>292.1875</v>
      </c>
      <c r="M114" s="1148" t="s">
        <v>10</v>
      </c>
      <c r="N114" s="628"/>
      <c r="O114" s="633"/>
      <c r="P114" s="633"/>
      <c r="Q114" s="634"/>
      <c r="R114" s="1137"/>
      <c r="S114" s="635"/>
      <c r="T114" s="636"/>
      <c r="U114" s="1096">
        <f>'R.GUI MAIL'!AL42</f>
        <v>0</v>
      </c>
      <c r="V114" s="300"/>
      <c r="W114" s="1149" t="s">
        <v>8</v>
      </c>
      <c r="X114" s="1138">
        <f>'R.GUI MAIL'!AO42</f>
        <v>0</v>
      </c>
      <c r="Y114" s="1148" t="s">
        <v>10</v>
      </c>
    </row>
    <row r="115" spans="1:25" ht="33.75" customHeight="1">
      <c r="A115" s="623">
        <v>4</v>
      </c>
      <c r="B115" s="3867" t="s">
        <v>740</v>
      </c>
      <c r="C115" s="1140" t="s">
        <v>741</v>
      </c>
      <c r="D115" s="1141">
        <f>R.HN!$C$12</f>
        <v>3</v>
      </c>
      <c r="E115" s="3870" t="s">
        <v>429</v>
      </c>
      <c r="F115" s="625" t="s">
        <v>727</v>
      </c>
      <c r="G115" s="626">
        <v>50</v>
      </c>
      <c r="H115" s="627">
        <f>R.HN!C119</f>
        <v>0</v>
      </c>
      <c r="I115" s="300">
        <f>'R.GUI MAIL'!AL8</f>
        <v>0</v>
      </c>
      <c r="J115" s="629"/>
      <c r="K115" s="630" t="s">
        <v>8</v>
      </c>
      <c r="L115" s="1138">
        <f>'R.GUI MAIL'!AO8</f>
        <v>0</v>
      </c>
      <c r="M115" s="1148" t="s">
        <v>9</v>
      </c>
      <c r="N115" s="628">
        <f>R.HN!D119</f>
        <v>0</v>
      </c>
      <c r="O115" s="300">
        <f>'R.GUI MAIL'!AL27</f>
        <v>44</v>
      </c>
      <c r="P115" s="629"/>
      <c r="Q115" s="630" t="s">
        <v>8</v>
      </c>
      <c r="R115" s="1138">
        <f>'R.GUI MAIL'!AO27</f>
        <v>29.61</v>
      </c>
      <c r="S115" s="631" t="s">
        <v>9</v>
      </c>
      <c r="T115" s="628"/>
      <c r="U115" s="300">
        <f>'R.GUI MAIL'!AL43</f>
        <v>0</v>
      </c>
      <c r="V115" s="300"/>
      <c r="W115" s="1149" t="s">
        <v>8</v>
      </c>
      <c r="X115" s="1138">
        <f>'R.GUI MAIL'!AO43</f>
        <v>0</v>
      </c>
      <c r="Y115" s="1148" t="s">
        <v>9</v>
      </c>
    </row>
    <row r="116" spans="1:25" ht="33.75" customHeight="1">
      <c r="A116" s="623">
        <v>5</v>
      </c>
      <c r="B116" s="3868"/>
      <c r="C116" s="1142"/>
      <c r="D116" s="1143"/>
      <c r="E116" s="3870"/>
      <c r="F116" s="625" t="s">
        <v>723</v>
      </c>
      <c r="G116" s="637">
        <v>6</v>
      </c>
      <c r="H116" s="627">
        <f>R.HN!C120</f>
        <v>0</v>
      </c>
      <c r="I116" s="300">
        <f>'R.GUI MAIL'!AL9</f>
        <v>0</v>
      </c>
      <c r="J116" s="629"/>
      <c r="K116" s="630" t="s">
        <v>8</v>
      </c>
      <c r="L116" s="1138">
        <f>'R.GUI MAIL'!AO9</f>
        <v>0</v>
      </c>
      <c r="M116" s="1148" t="s">
        <v>9</v>
      </c>
      <c r="N116" s="628">
        <f>R.HN!D120</f>
        <v>0</v>
      </c>
      <c r="O116" s="300">
        <f>'R.GUI MAIL'!AL28</f>
        <v>11</v>
      </c>
      <c r="P116" s="629"/>
      <c r="Q116" s="630"/>
      <c r="R116" s="1138">
        <f>'R.GUI MAIL'!AO28</f>
        <v>0</v>
      </c>
      <c r="S116" s="631" t="s">
        <v>9</v>
      </c>
      <c r="T116" s="628"/>
      <c r="U116" s="300">
        <f>'R.GUI MAIL'!AL44</f>
        <v>0</v>
      </c>
      <c r="V116" s="300"/>
      <c r="W116" s="1149"/>
      <c r="X116" s="1138">
        <f>'R.GUI MAIL'!AO44</f>
        <v>0</v>
      </c>
      <c r="Y116" s="1148" t="s">
        <v>9</v>
      </c>
    </row>
    <row r="117" spans="1:25" ht="33.75" customHeight="1">
      <c r="A117" s="623">
        <v>6</v>
      </c>
      <c r="B117" s="3868"/>
      <c r="C117" s="1142"/>
      <c r="D117" s="1143"/>
      <c r="E117" s="3870"/>
      <c r="F117" s="625" t="s">
        <v>611</v>
      </c>
      <c r="G117" s="637">
        <v>0.4</v>
      </c>
      <c r="H117" s="627">
        <f>R.HN!C121</f>
        <v>0</v>
      </c>
      <c r="I117" s="412">
        <f>'R.GUI MAIL'!AL10</f>
        <v>0</v>
      </c>
      <c r="J117" s="629"/>
      <c r="K117" s="630" t="s">
        <v>8</v>
      </c>
      <c r="L117" s="1138">
        <f>'R.GUI MAIL'!AO10</f>
        <v>0</v>
      </c>
      <c r="M117" s="1148" t="s">
        <v>9</v>
      </c>
      <c r="N117" s="628">
        <f>R.HN!D121</f>
        <v>0</v>
      </c>
      <c r="O117" s="412">
        <f>'R.GUI MAIL'!AL29</f>
        <v>0.18</v>
      </c>
      <c r="P117" s="629"/>
      <c r="Q117" s="630"/>
      <c r="R117" s="1138">
        <f>'R.GUI MAIL'!AO29</f>
        <v>0</v>
      </c>
      <c r="S117" s="631" t="s">
        <v>9</v>
      </c>
      <c r="T117" s="628"/>
      <c r="U117" s="412">
        <f>'R.GUI MAIL'!AL45</f>
        <v>0</v>
      </c>
      <c r="V117" s="300"/>
      <c r="W117" s="1149"/>
      <c r="X117" s="1138">
        <f>'R.GUI MAIL'!AO45</f>
        <v>0</v>
      </c>
      <c r="Y117" s="1148" t="s">
        <v>9</v>
      </c>
    </row>
    <row r="118" spans="1:25" ht="33.75" hidden="1" customHeight="1">
      <c r="A118" s="623">
        <v>7</v>
      </c>
      <c r="B118" s="3867" t="s">
        <v>740</v>
      </c>
      <c r="C118" s="1140" t="s">
        <v>741</v>
      </c>
      <c r="D118" s="1141">
        <f>R.HN!$C$13</f>
        <v>4</v>
      </c>
      <c r="E118" s="3870" t="s">
        <v>429</v>
      </c>
      <c r="F118" s="625" t="s">
        <v>727</v>
      </c>
      <c r="G118" s="626">
        <v>50</v>
      </c>
      <c r="H118" s="627">
        <f>R.HN!C122</f>
        <v>0</v>
      </c>
      <c r="I118" s="300">
        <f>'R.GUI MAIL'!AL11</f>
        <v>0</v>
      </c>
      <c r="J118" s="654"/>
      <c r="K118" s="630" t="s">
        <v>8</v>
      </c>
      <c r="L118" s="1138">
        <f>'R.GUI MAIL'!AO11</f>
        <v>0</v>
      </c>
      <c r="M118" s="1148" t="s">
        <v>9</v>
      </c>
      <c r="N118" s="628">
        <f>R.HN!D122</f>
        <v>0</v>
      </c>
      <c r="O118" s="633"/>
      <c r="P118" s="642"/>
      <c r="Q118" s="643"/>
      <c r="R118" s="1137"/>
      <c r="S118" s="644"/>
      <c r="T118" s="641"/>
      <c r="U118" s="633"/>
      <c r="V118" s="633"/>
      <c r="W118" s="634"/>
      <c r="X118" s="1137"/>
      <c r="Y118" s="635"/>
    </row>
    <row r="119" spans="1:25" ht="33.75" hidden="1" customHeight="1">
      <c r="A119" s="623">
        <v>8</v>
      </c>
      <c r="B119" s="3868"/>
      <c r="C119" s="1142"/>
      <c r="D119" s="1143"/>
      <c r="E119" s="3870"/>
      <c r="F119" s="625" t="s">
        <v>723</v>
      </c>
      <c r="G119" s="637">
        <v>6</v>
      </c>
      <c r="H119" s="627">
        <f>R.HN!C123</f>
        <v>0</v>
      </c>
      <c r="I119" s="300">
        <f>'R.GUI MAIL'!AL12</f>
        <v>0</v>
      </c>
      <c r="J119" s="629"/>
      <c r="K119" s="630" t="s">
        <v>8</v>
      </c>
      <c r="L119" s="1138">
        <f>'R.GUI MAIL'!AO12</f>
        <v>0</v>
      </c>
      <c r="M119" s="1148" t="s">
        <v>9</v>
      </c>
      <c r="N119" s="628">
        <f>R.HN!D123</f>
        <v>0</v>
      </c>
      <c r="O119" s="633"/>
      <c r="P119" s="642"/>
      <c r="Q119" s="643"/>
      <c r="R119" s="1137"/>
      <c r="S119" s="644"/>
      <c r="T119" s="628"/>
      <c r="U119" s="633"/>
      <c r="V119" s="633"/>
      <c r="W119" s="634"/>
      <c r="X119" s="1137"/>
      <c r="Y119" s="635"/>
    </row>
    <row r="120" spans="1:25" ht="33.75" hidden="1" customHeight="1">
      <c r="A120" s="623">
        <v>9</v>
      </c>
      <c r="B120" s="3868"/>
      <c r="C120" s="1142"/>
      <c r="D120" s="1143"/>
      <c r="E120" s="3870"/>
      <c r="F120" s="625" t="s">
        <v>611</v>
      </c>
      <c r="G120" s="637">
        <v>0.4</v>
      </c>
      <c r="H120" s="627">
        <f>R.HN!C124</f>
        <v>0</v>
      </c>
      <c r="I120" s="412">
        <f>'R.GUI MAIL'!AL13</f>
        <v>0</v>
      </c>
      <c r="J120" s="654"/>
      <c r="K120" s="630" t="s">
        <v>8</v>
      </c>
      <c r="L120" s="1138">
        <f>'R.GUI MAIL'!AO13</f>
        <v>0</v>
      </c>
      <c r="M120" s="1148" t="s">
        <v>9</v>
      </c>
      <c r="N120" s="628">
        <f>R.HN!D124</f>
        <v>0</v>
      </c>
      <c r="O120" s="642"/>
      <c r="P120" s="642"/>
      <c r="Q120" s="643"/>
      <c r="R120" s="1137"/>
      <c r="S120" s="644"/>
      <c r="T120" s="641"/>
      <c r="U120" s="642"/>
      <c r="V120" s="642"/>
      <c r="W120" s="643"/>
      <c r="X120" s="1137"/>
      <c r="Y120" s="644"/>
    </row>
    <row r="121" spans="1:25" ht="33.75" customHeight="1">
      <c r="A121" s="623">
        <v>10</v>
      </c>
      <c r="B121" s="3864" t="s">
        <v>742</v>
      </c>
      <c r="C121" s="3865"/>
      <c r="D121" s="3866"/>
      <c r="E121" s="623" t="s">
        <v>429</v>
      </c>
      <c r="F121" s="645" t="s">
        <v>439</v>
      </c>
      <c r="G121" s="637">
        <v>2</v>
      </c>
      <c r="H121" s="627">
        <f>R.HN!C131</f>
        <v>0</v>
      </c>
      <c r="I121" s="300">
        <f>'R.GUI MAIL'!AL14</f>
        <v>0</v>
      </c>
      <c r="J121" s="629"/>
      <c r="K121" s="630" t="s">
        <v>8</v>
      </c>
      <c r="L121" s="1146">
        <f>'R.GUI MAIL'!AO14</f>
        <v>0</v>
      </c>
      <c r="M121" s="1148" t="s">
        <v>9</v>
      </c>
      <c r="N121" s="628">
        <f>R.HN!D131</f>
        <v>0</v>
      </c>
      <c r="O121" s="300">
        <f>'R.GUI MAIL'!AL30</f>
        <v>0.95</v>
      </c>
      <c r="P121" s="629"/>
      <c r="Q121" s="630" t="s">
        <v>8</v>
      </c>
      <c r="R121" s="1138">
        <f>'R.GUI MAIL'!AO30</f>
        <v>6.1700000000000053E-2</v>
      </c>
      <c r="S121" s="631" t="s">
        <v>9</v>
      </c>
      <c r="T121" s="628"/>
      <c r="U121" s="300">
        <f>'R.GUI MAIL'!AL46</f>
        <v>0</v>
      </c>
      <c r="V121" s="300"/>
      <c r="W121" s="1149" t="s">
        <v>8</v>
      </c>
      <c r="X121" s="1138">
        <f>'R.GUI MAIL'!AO46</f>
        <v>0</v>
      </c>
      <c r="Y121" s="1148" t="s">
        <v>9</v>
      </c>
    </row>
    <row r="122" spans="1:25" ht="33.75" customHeight="1">
      <c r="A122" s="623">
        <v>11</v>
      </c>
      <c r="B122" s="3879"/>
      <c r="C122" s="3880"/>
      <c r="D122" s="3881"/>
      <c r="E122" s="623" t="s">
        <v>5</v>
      </c>
      <c r="F122" s="1144" t="s">
        <v>617</v>
      </c>
      <c r="G122" s="646">
        <v>9</v>
      </c>
      <c r="H122" s="627">
        <f>R.HN!C132</f>
        <v>0</v>
      </c>
      <c r="I122" s="300">
        <f>'R.GUI MAIL'!AL15</f>
        <v>0</v>
      </c>
      <c r="J122" s="629"/>
      <c r="K122" s="630"/>
      <c r="L122" s="1138"/>
      <c r="M122" s="631"/>
      <c r="N122" s="628">
        <f>R.HN!D132</f>
        <v>0</v>
      </c>
      <c r="O122" s="300">
        <f>'R.GUI MAIL'!AL31</f>
        <v>10</v>
      </c>
      <c r="P122" s="629"/>
      <c r="Q122" s="630"/>
      <c r="R122" s="1138"/>
      <c r="S122" s="631"/>
      <c r="T122" s="628"/>
      <c r="U122" s="300">
        <f>'R.GUI MAIL'!AL47</f>
        <v>0</v>
      </c>
      <c r="V122" s="300"/>
      <c r="W122" s="1149"/>
      <c r="X122" s="1138"/>
      <c r="Y122" s="1148"/>
    </row>
    <row r="123" spans="1:25" ht="33.75" customHeight="1">
      <c r="A123" s="647"/>
      <c r="B123" s="1818"/>
      <c r="C123" s="648"/>
      <c r="D123" s="648"/>
      <c r="E123" s="648" t="s">
        <v>2</v>
      </c>
      <c r="F123" s="648"/>
      <c r="G123" s="648"/>
      <c r="H123" s="648"/>
      <c r="I123" s="648"/>
      <c r="J123" s="648"/>
      <c r="K123" s="648"/>
      <c r="L123" s="648"/>
      <c r="M123" s="648"/>
      <c r="N123" s="648"/>
      <c r="O123" s="648"/>
      <c r="P123" s="648"/>
      <c r="Q123" s="648"/>
      <c r="R123" s="648"/>
      <c r="S123" s="648"/>
      <c r="T123" s="648"/>
      <c r="U123" s="648"/>
      <c r="V123" s="648"/>
      <c r="W123" s="648"/>
      <c r="X123" s="648"/>
      <c r="Y123" s="1145"/>
    </row>
    <row r="124" spans="1:25" ht="33.75" customHeight="1">
      <c r="A124" s="649" t="s">
        <v>53</v>
      </c>
      <c r="B124" s="3861" t="s">
        <v>743</v>
      </c>
      <c r="C124" s="3862"/>
      <c r="D124" s="3863"/>
      <c r="E124" s="650" t="s">
        <v>744</v>
      </c>
      <c r="F124" s="650" t="s">
        <v>745</v>
      </c>
      <c r="G124" s="651" t="s">
        <v>736</v>
      </c>
      <c r="H124" s="652"/>
      <c r="I124" s="3871" t="s">
        <v>45</v>
      </c>
      <c r="J124" s="3872"/>
      <c r="K124" s="3872"/>
      <c r="L124" s="3873" t="s">
        <v>61</v>
      </c>
      <c r="M124" s="3874"/>
      <c r="N124" s="617"/>
      <c r="O124" s="3871" t="s">
        <v>45</v>
      </c>
      <c r="P124" s="3872"/>
      <c r="Q124" s="3872"/>
      <c r="R124" s="3873" t="s">
        <v>61</v>
      </c>
      <c r="S124" s="3874"/>
      <c r="T124" s="617"/>
      <c r="U124" s="3871" t="s">
        <v>45</v>
      </c>
      <c r="V124" s="3872"/>
      <c r="W124" s="3872"/>
      <c r="X124" s="3873" t="s">
        <v>61</v>
      </c>
      <c r="Y124" s="3874"/>
    </row>
    <row r="125" spans="1:25" ht="33.75" customHeight="1">
      <c r="A125" s="649">
        <v>1</v>
      </c>
      <c r="B125" s="3861" t="s">
        <v>746</v>
      </c>
      <c r="C125" s="3862"/>
      <c r="D125" s="3863"/>
      <c r="E125" s="653" t="s">
        <v>747</v>
      </c>
      <c r="F125" s="645" t="s">
        <v>1097</v>
      </c>
      <c r="G125" s="651"/>
      <c r="H125" s="652"/>
      <c r="I125" s="1495"/>
      <c r="J125" s="1496"/>
      <c r="K125" s="1496"/>
      <c r="L125" s="1492"/>
      <c r="M125" s="1493"/>
      <c r="N125" s="1494"/>
      <c r="O125" s="3802">
        <f>'R.GUI MAIL'!AL34</f>
        <v>0</v>
      </c>
      <c r="P125" s="3802"/>
      <c r="Q125" s="3802"/>
      <c r="R125" s="3802">
        <f>'R.GUI MAIL'!AO34</f>
        <v>59</v>
      </c>
      <c r="S125" s="3802"/>
      <c r="T125" s="3802"/>
      <c r="U125" s="3802">
        <f>'R.GUI MAIL'!AL50</f>
        <v>0</v>
      </c>
      <c r="V125" s="3802"/>
      <c r="W125" s="3802"/>
      <c r="X125" s="3802">
        <f>'R.GUI MAIL'!AO50</f>
        <v>0</v>
      </c>
      <c r="Y125" s="3802"/>
    </row>
    <row r="126" spans="1:25" ht="33.75" customHeight="1">
      <c r="A126" s="649">
        <v>2</v>
      </c>
      <c r="B126" s="3861" t="s">
        <v>748</v>
      </c>
      <c r="C126" s="3862"/>
      <c r="D126" s="3863"/>
      <c r="E126" s="653" t="s">
        <v>747</v>
      </c>
      <c r="F126" s="645" t="s">
        <v>749</v>
      </c>
      <c r="G126" s="654" t="e">
        <f>'[8]file goc'!G202</f>
        <v>#REF!</v>
      </c>
      <c r="H126" s="654"/>
      <c r="I126" s="3591">
        <f>'R.GUI MAIL'!AL18</f>
        <v>0</v>
      </c>
      <c r="J126" s="3592"/>
      <c r="K126" s="3592"/>
      <c r="L126" s="3591">
        <f>'R.GUI MAIL'!AO18</f>
        <v>0</v>
      </c>
      <c r="M126" s="3592"/>
      <c r="N126" s="1456"/>
      <c r="O126" s="3591">
        <f>'R.GUI MAIL'!AL35</f>
        <v>0</v>
      </c>
      <c r="P126" s="3592"/>
      <c r="Q126" s="3592"/>
      <c r="R126" s="3591">
        <f>'R.GUI MAIL'!AO35</f>
        <v>60</v>
      </c>
      <c r="S126" s="3593"/>
      <c r="T126" s="1494"/>
      <c r="U126" s="3591">
        <f>'R.GUI MAIL'!AL51</f>
        <v>0</v>
      </c>
      <c r="V126" s="3592"/>
      <c r="W126" s="3593"/>
      <c r="X126" s="3591">
        <f>'R.GUI MAIL'!AO51</f>
        <v>0</v>
      </c>
      <c r="Y126" s="3593"/>
    </row>
    <row r="127" spans="1:25" ht="33.75" hidden="1" customHeight="1">
      <c r="A127" s="649">
        <v>3</v>
      </c>
      <c r="B127" s="3861" t="s">
        <v>750</v>
      </c>
      <c r="C127" s="3862"/>
      <c r="D127" s="3863"/>
      <c r="E127" s="653" t="s">
        <v>747</v>
      </c>
      <c r="F127" s="645" t="s">
        <v>749</v>
      </c>
      <c r="G127" s="655" t="e">
        <f>'[8]file goc'!G203</f>
        <v>#REF!</v>
      </c>
      <c r="H127" s="654"/>
      <c r="I127" s="3591">
        <f>'R.GUI MAIL'!AL19</f>
        <v>0</v>
      </c>
      <c r="J127" s="3592"/>
      <c r="K127" s="3592"/>
      <c r="L127" s="3591">
        <f>'R.GUI MAIL'!AO19</f>
        <v>0</v>
      </c>
      <c r="M127" s="3593"/>
      <c r="N127" s="1494"/>
      <c r="O127" s="1495"/>
      <c r="P127" s="1496"/>
      <c r="Q127" s="1496"/>
      <c r="R127" s="1497"/>
      <c r="S127" s="1498"/>
      <c r="T127" s="1494"/>
      <c r="U127" s="1499"/>
      <c r="V127" s="1499"/>
      <c r="W127" s="1499"/>
      <c r="X127" s="1499"/>
      <c r="Y127" s="1499"/>
    </row>
    <row r="128" spans="1:25" ht="33.75" customHeight="1">
      <c r="A128" s="649">
        <v>6</v>
      </c>
      <c r="B128" s="3861" t="s">
        <v>751</v>
      </c>
      <c r="C128" s="3862"/>
      <c r="D128" s="3863"/>
      <c r="E128" s="653" t="s">
        <v>747</v>
      </c>
      <c r="F128" s="645" t="s">
        <v>752</v>
      </c>
      <c r="G128" s="655" t="e">
        <f>'[8]file goc'!G206</f>
        <v>#REF!</v>
      </c>
      <c r="H128" s="654"/>
      <c r="I128" s="3591">
        <f>'R.GUI MAIL'!AL20</f>
        <v>0</v>
      </c>
      <c r="J128" s="3592"/>
      <c r="K128" s="3592"/>
      <c r="L128" s="3591">
        <f>'R.GUI MAIL'!AO20</f>
        <v>0</v>
      </c>
      <c r="M128" s="3593"/>
      <c r="N128" s="1494"/>
      <c r="O128" s="3591">
        <f>'R.GUI MAIL'!AL36</f>
        <v>0</v>
      </c>
      <c r="P128" s="3592"/>
      <c r="Q128" s="3592"/>
      <c r="R128" s="3591">
        <f>'R.GUI MAIL'!AO36</f>
        <v>84</v>
      </c>
      <c r="S128" s="3593"/>
      <c r="T128" s="1494"/>
      <c r="U128" s="3591">
        <f>'R.GUI MAIL'!AL52</f>
        <v>0</v>
      </c>
      <c r="V128" s="3592"/>
      <c r="W128" s="3593"/>
      <c r="X128" s="3591">
        <f>'R.GUI MAIL'!AO52</f>
        <v>0</v>
      </c>
      <c r="Y128" s="3593"/>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7" type="noConversion"/>
  <conditionalFormatting sqref="O71 O50 O29 I8:I9 O8 O113 U113:U114 I29:I30 U29:U30 I50:I51 U50:U51 I71:I72 U71:U72 I92:I93 U92:U93 I113:I114 O92 U8:U9">
    <cfRule type="expression" dxfId="316" priority="148">
      <formula>I8&lt;10</formula>
    </cfRule>
    <cfRule type="expression" dxfId="315" priority="149">
      <formula>I8&gt;15</formula>
    </cfRule>
  </conditionalFormatting>
  <conditionalFormatting sqref="I73 I76 O73 U73 I115 I52 I55 O52 U52 I118 I31 I34 O31 U31 U115 I10 I13 O10 U10 O115 O94 I94 I97 U94">
    <cfRule type="expression" dxfId="314" priority="146">
      <formula>I10&lt;40</formula>
    </cfRule>
    <cfRule type="expression" dxfId="313" priority="147">
      <formula>I10&gt;60</formula>
    </cfRule>
  </conditionalFormatting>
  <conditionalFormatting sqref="I74 O74 U74 I77 I116 I56 I119 I53 O53 U53 I32 O32 U32 I35 U116 O116 U11 I14 I11 O11 O95 I95 I98 U95">
    <cfRule type="expression" dxfId="312" priority="144">
      <formula>I11&lt;5.2</formula>
    </cfRule>
    <cfRule type="expression" dxfId="311" priority="145">
      <formula>I11&gt;7.8</formula>
    </cfRule>
  </conditionalFormatting>
  <conditionalFormatting sqref="I75 I78 O75 U75 I117 I54 I57 O54 U54 I120 I33 I36 O33 U33 U117 I12 I15 O12 U12 O117 O96 I96 I99 U96">
    <cfRule type="expression" dxfId="310" priority="143">
      <formula>I12&gt;0.4</formula>
    </cfRule>
  </conditionalFormatting>
  <conditionalFormatting sqref="I79 O79 U79 I58 O58 U58 I37 O37 U37 I16 O16 U16 O100 I100 U100 O121 I121 U121">
    <cfRule type="expression" dxfId="309" priority="141">
      <formula>I16&lt;0.8</formula>
    </cfRule>
    <cfRule type="expression" dxfId="308" priority="142">
      <formula>I16&gt;1.2</formula>
    </cfRule>
  </conditionalFormatting>
  <conditionalFormatting sqref="I80 U80 O80 U59 I59 O59 U38 I38 O38 U17 O17 I17 O101 I101 U101 O122 I122 U122">
    <cfRule type="expression" dxfId="307" priority="139">
      <formula>I17&lt;8</formula>
    </cfRule>
    <cfRule type="expression" dxfId="306" priority="140">
      <formula>I17&gt;10</formula>
    </cfRule>
  </conditionalFormatting>
  <conditionalFormatting sqref="O20 R20 U20 X20 O41 R41 U41 X41 O62 R62 U62 X62 O83 R83 U83 X83 O104 R104 U104 X104 O125 R125 U125 X125">
    <cfRule type="expression" dxfId="305" priority="137">
      <formula>O20&lt;55</formula>
    </cfRule>
    <cfRule type="expression" dxfId="304"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303" priority="135">
      <formula>I21&lt;65</formula>
    </cfRule>
    <cfRule type="expression" dxfId="302"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301" priority="133">
      <formula>I23&lt;80</formula>
    </cfRule>
    <cfRule type="expression" dxfId="300" priority="134">
      <formula>I23&gt;90</formula>
    </cfRule>
  </conditionalFormatting>
  <conditionalFormatting sqref="U28 U49 U70 U91 U112 U7 O112 O91 O70 O49 O28 O7">
    <cfRule type="expression" dxfId="299" priority="110">
      <formula>O7&lt;30</formula>
    </cfRule>
    <cfRule type="expression" dxfId="298" priority="111">
      <formula>O7&gt;50</formula>
    </cfRule>
  </conditionalFormatting>
  <conditionalFormatting sqref="O41">
    <cfRule type="expression" dxfId="297" priority="46">
      <formula>U41&lt;1</formula>
    </cfRule>
  </conditionalFormatting>
  <conditionalFormatting sqref="R41 U41 X41">
    <cfRule type="expression" dxfId="296"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4.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I186"/>
    </sheetView>
  </sheetViews>
  <sheetFormatPr defaultColWidth="4.125" defaultRowHeight="12.75" customHeight="1"/>
  <cols>
    <col min="1" max="1" width="2.75" style="665" customWidth="1"/>
    <col min="2" max="2" width="16.875" style="665" customWidth="1"/>
    <col min="3" max="4" width="9.5" style="667" customWidth="1"/>
    <col min="5" max="8" width="7" style="667" customWidth="1"/>
    <col min="9" max="9" width="4.875" style="667" customWidth="1"/>
    <col min="10" max="35" width="4.125" style="665"/>
    <col min="36" max="36" width="4.125" style="665" customWidth="1"/>
    <col min="37" max="16384" width="4.125" style="665"/>
  </cols>
  <sheetData>
    <row r="1" spans="1:9" ht="18" customHeight="1">
      <c r="B1" s="666"/>
      <c r="C1" s="2023" t="str">
        <f>MENU!$AC$9</f>
        <v>Thứ 5,</v>
      </c>
    </row>
    <row r="2" spans="1:9" ht="12.75" customHeight="1">
      <c r="B2" s="668" t="s">
        <v>736</v>
      </c>
      <c r="C2" s="669" t="str">
        <f>'1.xi den'!G3</f>
        <v>2024/08/01</v>
      </c>
    </row>
    <row r="3" spans="1:9" s="672" customFormat="1" ht="12.75" customHeight="1">
      <c r="A3" s="3888" t="s">
        <v>7</v>
      </c>
      <c r="B3" s="3890" t="s">
        <v>753</v>
      </c>
      <c r="C3" s="670"/>
      <c r="D3" s="671" t="s">
        <v>154</v>
      </c>
      <c r="E3" s="671"/>
      <c r="F3" s="671"/>
      <c r="G3" s="671"/>
      <c r="H3" s="671"/>
      <c r="I3" s="671"/>
    </row>
    <row r="4" spans="1:9" s="672" customFormat="1" ht="12.75" customHeight="1" thickBot="1">
      <c r="A4" s="3889"/>
      <c r="B4" s="3891"/>
      <c r="C4" s="673"/>
      <c r="D4" s="674" t="s">
        <v>383</v>
      </c>
      <c r="E4" s="674" t="s">
        <v>384</v>
      </c>
      <c r="F4" s="674" t="s">
        <v>385</v>
      </c>
      <c r="G4" s="674" t="s">
        <v>386</v>
      </c>
      <c r="H4" s="674" t="s">
        <v>387</v>
      </c>
      <c r="I4" s="674" t="s">
        <v>388</v>
      </c>
    </row>
    <row r="5" spans="1:9" s="678" customFormat="1" ht="12.75" customHeight="1">
      <c r="A5" s="320">
        <v>1</v>
      </c>
      <c r="B5" s="136" t="s">
        <v>754</v>
      </c>
      <c r="C5" s="391" t="s">
        <v>755</v>
      </c>
      <c r="D5" s="675">
        <f>'2.RL E'!F7</f>
        <v>0</v>
      </c>
      <c r="E5" s="676">
        <f>'2.RL E'!J7</f>
        <v>0</v>
      </c>
      <c r="F5" s="676">
        <f>'2.RL E'!N7</f>
        <v>0</v>
      </c>
      <c r="G5" s="676">
        <f>'2.RL E'!F28</f>
        <v>0</v>
      </c>
      <c r="H5" s="676">
        <f>'2.RL E'!J28</f>
        <v>0</v>
      </c>
      <c r="I5" s="677">
        <f>'2.RL E'!N28</f>
        <v>0</v>
      </c>
    </row>
    <row r="6" spans="1:9" s="678" customFormat="1" ht="12.75" hidden="1" customHeight="1">
      <c r="A6" s="320"/>
      <c r="B6" s="136" t="s">
        <v>754</v>
      </c>
      <c r="C6" s="391" t="s">
        <v>755</v>
      </c>
      <c r="D6" s="679">
        <f>'2.RL E'!F8</f>
        <v>0</v>
      </c>
      <c r="E6" s="680">
        <f>'2.RL E'!J8</f>
        <v>0</v>
      </c>
      <c r="F6" s="680">
        <f>'2.RL E'!N8</f>
        <v>0</v>
      </c>
      <c r="G6" s="680">
        <f>'2.RL E'!F29</f>
        <v>0</v>
      </c>
      <c r="H6" s="680">
        <f>'2.RL E'!J29</f>
        <v>0</v>
      </c>
      <c r="I6" s="681">
        <f>'2.RL E'!N29</f>
        <v>0</v>
      </c>
    </row>
    <row r="7" spans="1:9" s="678" customFormat="1" ht="12.75" hidden="1" customHeight="1">
      <c r="A7" s="320">
        <v>2</v>
      </c>
      <c r="B7" s="3892" t="s">
        <v>756</v>
      </c>
      <c r="C7" s="682" t="s">
        <v>605</v>
      </c>
      <c r="D7" s="679">
        <f>'2.RL E'!F9</f>
        <v>0</v>
      </c>
      <c r="E7" s="680">
        <f>'2.RL E'!J9</f>
        <v>0</v>
      </c>
      <c r="F7" s="680">
        <f>'2.RL E'!N9</f>
        <v>0</v>
      </c>
      <c r="G7" s="680">
        <f>'2.RL E'!F30</f>
        <v>0</v>
      </c>
      <c r="H7" s="680">
        <f>'2.RL E'!J30</f>
        <v>0</v>
      </c>
      <c r="I7" s="681">
        <f>'2.RL E'!N30</f>
        <v>0</v>
      </c>
    </row>
    <row r="8" spans="1:9" s="678" customFormat="1" ht="12.75" hidden="1" customHeight="1">
      <c r="A8" s="320">
        <v>3</v>
      </c>
      <c r="B8" s="3893"/>
      <c r="C8" s="682" t="s">
        <v>609</v>
      </c>
      <c r="D8" s="679">
        <f>'2.RL E'!F10</f>
        <v>0</v>
      </c>
      <c r="E8" s="680">
        <f>'2.RL E'!J10</f>
        <v>0</v>
      </c>
      <c r="F8" s="680">
        <f>'2.RL E'!N10</f>
        <v>0</v>
      </c>
      <c r="G8" s="680">
        <f>'2.RL E'!F31</f>
        <v>0</v>
      </c>
      <c r="H8" s="680">
        <f>'2.RL E'!J31</f>
        <v>0</v>
      </c>
      <c r="I8" s="681">
        <f>'2.RL E'!N31</f>
        <v>0</v>
      </c>
    </row>
    <row r="9" spans="1:9" s="678" customFormat="1" ht="12.75" hidden="1" customHeight="1">
      <c r="A9" s="320">
        <v>4</v>
      </c>
      <c r="B9" s="3894"/>
      <c r="C9" s="682" t="s">
        <v>611</v>
      </c>
      <c r="D9" s="679">
        <f>'2.RL E'!F11</f>
        <v>0</v>
      </c>
      <c r="E9" s="680">
        <f>'2.RL E'!J11</f>
        <v>0</v>
      </c>
      <c r="F9" s="680">
        <f>'2.RL E'!N11</f>
        <v>0</v>
      </c>
      <c r="G9" s="680">
        <f>'2.RL E'!F32</f>
        <v>0</v>
      </c>
      <c r="H9" s="680">
        <f>'2.RL E'!J32</f>
        <v>0</v>
      </c>
      <c r="I9" s="681">
        <f>'2.RL E'!N32</f>
        <v>0</v>
      </c>
    </row>
    <row r="10" spans="1:9" s="678" customFormat="1" ht="12.75" hidden="1" customHeight="1">
      <c r="A10" s="320">
        <v>5</v>
      </c>
      <c r="B10" s="3892" t="s">
        <v>757</v>
      </c>
      <c r="C10" s="682" t="s">
        <v>605</v>
      </c>
      <c r="D10" s="679">
        <f>'2.RL E'!F12</f>
        <v>0</v>
      </c>
      <c r="E10" s="680">
        <f>'2.RL E'!J12</f>
        <v>0</v>
      </c>
      <c r="F10" s="680">
        <f>'2.RL E'!N12</f>
        <v>0</v>
      </c>
      <c r="G10" s="680">
        <f>'2.RL E'!F33</f>
        <v>0</v>
      </c>
      <c r="H10" s="680">
        <f>'2.RL E'!J33</f>
        <v>0</v>
      </c>
      <c r="I10" s="681">
        <f>'2.RL E'!N33</f>
        <v>0</v>
      </c>
    </row>
    <row r="11" spans="1:9" s="678" customFormat="1" ht="12.75" hidden="1" customHeight="1">
      <c r="A11" s="320">
        <v>6</v>
      </c>
      <c r="B11" s="3893"/>
      <c r="C11" s="682" t="s">
        <v>609</v>
      </c>
      <c r="D11" s="679">
        <f>'2.RL E'!F13</f>
        <v>0</v>
      </c>
      <c r="E11" s="680">
        <f>'2.RL E'!J13</f>
        <v>0</v>
      </c>
      <c r="F11" s="680">
        <f>'2.RL E'!N13</f>
        <v>0</v>
      </c>
      <c r="G11" s="680">
        <f>'2.RL E'!F34</f>
        <v>0</v>
      </c>
      <c r="H11" s="680">
        <f>'2.RL E'!J34</f>
        <v>0</v>
      </c>
      <c r="I11" s="681">
        <f>'2.RL E'!N34</f>
        <v>0</v>
      </c>
    </row>
    <row r="12" spans="1:9" s="678" customFormat="1" ht="12.75" hidden="1" customHeight="1">
      <c r="A12" s="320">
        <v>7</v>
      </c>
      <c r="B12" s="3894"/>
      <c r="C12" s="682" t="s">
        <v>611</v>
      </c>
      <c r="D12" s="679">
        <f>'2.RL E'!F14</f>
        <v>0</v>
      </c>
      <c r="E12" s="680">
        <f>'2.RL E'!J14</f>
        <v>0</v>
      </c>
      <c r="F12" s="680">
        <f>'2.RL E'!N14</f>
        <v>0</v>
      </c>
      <c r="G12" s="680">
        <f>'2.RL E'!F35</f>
        <v>0</v>
      </c>
      <c r="H12" s="680">
        <f>'2.RL E'!J35</f>
        <v>0</v>
      </c>
      <c r="I12" s="681">
        <f>'2.RL E'!N35</f>
        <v>0</v>
      </c>
    </row>
    <row r="13" spans="1:9" s="683" customFormat="1" ht="12.75" hidden="1" customHeight="1">
      <c r="A13" s="320">
        <v>8</v>
      </c>
      <c r="B13" s="3892" t="s">
        <v>758</v>
      </c>
      <c r="C13" s="391" t="s">
        <v>759</v>
      </c>
      <c r="D13" s="679">
        <f>'2.RL E'!F15</f>
        <v>0</v>
      </c>
      <c r="E13" s="680">
        <f>'2.RL E'!J15</f>
        <v>0</v>
      </c>
      <c r="F13" s="680">
        <f>'2.RL E'!N15</f>
        <v>0</v>
      </c>
      <c r="G13" s="680">
        <f>'2.RL E'!F36</f>
        <v>0</v>
      </c>
      <c r="H13" s="680">
        <f>'2.RL E'!J36</f>
        <v>0</v>
      </c>
      <c r="I13" s="681">
        <f>'2.RL E'!N36</f>
        <v>0</v>
      </c>
    </row>
    <row r="14" spans="1:9" s="683" customFormat="1" ht="12.75" hidden="1" customHeight="1">
      <c r="A14" s="320">
        <v>9</v>
      </c>
      <c r="B14" s="3894"/>
      <c r="C14" s="391" t="s">
        <v>617</v>
      </c>
      <c r="D14" s="679">
        <f>'2.RL E'!F16</f>
        <v>0</v>
      </c>
      <c r="E14" s="680">
        <f>'2.RL E'!J16</f>
        <v>0</v>
      </c>
      <c r="F14" s="680">
        <f>'2.RL E'!N16</f>
        <v>0</v>
      </c>
      <c r="G14" s="680">
        <f>'2.RL E'!F37</f>
        <v>0</v>
      </c>
      <c r="H14" s="680">
        <f>'2.RL E'!J37</f>
        <v>0</v>
      </c>
      <c r="I14" s="681">
        <f>'2.RL E'!N37</f>
        <v>0</v>
      </c>
    </row>
    <row r="15" spans="1:9" s="683" customFormat="1" ht="12.75" hidden="1" customHeight="1">
      <c r="A15" s="3887" t="s">
        <v>2</v>
      </c>
      <c r="B15" s="3887"/>
      <c r="C15" s="670"/>
      <c r="D15" s="684" t="s">
        <v>156</v>
      </c>
      <c r="E15" s="671"/>
      <c r="F15" s="671"/>
      <c r="G15" s="671"/>
      <c r="H15" s="671"/>
      <c r="I15" s="685"/>
    </row>
    <row r="16" spans="1:9" s="683" customFormat="1" ht="12.75" hidden="1" customHeight="1">
      <c r="A16" s="148" t="s">
        <v>53</v>
      </c>
      <c r="B16" s="686" t="s">
        <v>760</v>
      </c>
      <c r="C16" s="670"/>
      <c r="D16" s="687" t="s">
        <v>383</v>
      </c>
      <c r="E16" s="674" t="s">
        <v>384</v>
      </c>
      <c r="F16" s="674" t="s">
        <v>385</v>
      </c>
      <c r="G16" s="674" t="s">
        <v>386</v>
      </c>
      <c r="H16" s="674" t="s">
        <v>387</v>
      </c>
      <c r="I16" s="688" t="s">
        <v>388</v>
      </c>
    </row>
    <row r="17" spans="1:9" s="683" customFormat="1" ht="12.75" hidden="1" customHeight="1">
      <c r="A17" s="320">
        <v>1</v>
      </c>
      <c r="B17" s="689" t="s">
        <v>443</v>
      </c>
      <c r="C17" s="690"/>
      <c r="D17" s="679">
        <f>'2.RL E'!F19</f>
        <v>0</v>
      </c>
      <c r="E17" s="680">
        <f>'2.RL E'!J19</f>
        <v>0</v>
      </c>
      <c r="F17" s="680">
        <f>'2.RL E'!N19</f>
        <v>0</v>
      </c>
      <c r="G17" s="680">
        <f>'2.RL E'!F40</f>
        <v>0</v>
      </c>
      <c r="H17" s="680">
        <f>'2.RL E'!J40</f>
        <v>0</v>
      </c>
      <c r="I17" s="685">
        <f>'2.RL E'!N40</f>
        <v>0</v>
      </c>
    </row>
    <row r="18" spans="1:9" s="683" customFormat="1" ht="12.75" hidden="1" customHeight="1">
      <c r="A18" s="320">
        <v>2</v>
      </c>
      <c r="B18" s="689" t="s">
        <v>445</v>
      </c>
      <c r="C18" s="690"/>
      <c r="D18" s="679">
        <f>'2.RL E'!F20</f>
        <v>0</v>
      </c>
      <c r="E18" s="680">
        <f>'2.RL E'!J20</f>
        <v>0</v>
      </c>
      <c r="F18" s="680">
        <f>'2.RL E'!N20</f>
        <v>0</v>
      </c>
      <c r="G18" s="680">
        <f>'2.RL E'!F41</f>
        <v>0</v>
      </c>
      <c r="H18" s="680">
        <f>'2.RL E'!J41</f>
        <v>0</v>
      </c>
      <c r="I18" s="685">
        <f>'2.RL E'!N41</f>
        <v>0</v>
      </c>
    </row>
    <row r="19" spans="1:9" s="683" customFormat="1" ht="12.75" hidden="1" customHeight="1">
      <c r="A19" s="320">
        <v>3</v>
      </c>
      <c r="B19" s="689" t="s">
        <v>438</v>
      </c>
      <c r="C19" s="690"/>
      <c r="D19" s="679">
        <f>'2.RL E'!F21</f>
        <v>0</v>
      </c>
      <c r="E19" s="680">
        <f>'2.RL E'!J21</f>
        <v>0</v>
      </c>
      <c r="F19" s="680">
        <f>'2.RL E'!N21</f>
        <v>0</v>
      </c>
      <c r="G19" s="680">
        <f>'2.RL E'!F42</f>
        <v>0</v>
      </c>
      <c r="H19" s="680">
        <f>'2.RL E'!J42</f>
        <v>0</v>
      </c>
      <c r="I19" s="685">
        <f>'2.RL E'!N42</f>
        <v>0</v>
      </c>
    </row>
    <row r="20" spans="1:9" s="683" customFormat="1" ht="12.75" hidden="1" customHeight="1">
      <c r="A20" s="320">
        <v>4</v>
      </c>
      <c r="B20" s="689" t="s">
        <v>761</v>
      </c>
      <c r="C20" s="690"/>
      <c r="D20" s="679">
        <f>'2.RL E'!F22</f>
        <v>0</v>
      </c>
      <c r="E20" s="680">
        <f>'2.RL E'!J22</f>
        <v>0</v>
      </c>
      <c r="F20" s="680">
        <f>'2.RL E'!N22</f>
        <v>0</v>
      </c>
      <c r="G20" s="680">
        <f>'2.RL E'!F43</f>
        <v>0</v>
      </c>
      <c r="H20" s="680">
        <f>'2.RL E'!J43</f>
        <v>0</v>
      </c>
      <c r="I20" s="685">
        <f>'2.RL E'!N43</f>
        <v>0</v>
      </c>
    </row>
    <row r="21" spans="1:9" ht="12.75" hidden="1" customHeight="1">
      <c r="A21" s="3888" t="s">
        <v>7</v>
      </c>
      <c r="B21" s="3890" t="s">
        <v>753</v>
      </c>
      <c r="C21" s="670"/>
      <c r="D21" s="684" t="s">
        <v>155</v>
      </c>
      <c r="E21" s="671"/>
      <c r="F21" s="671"/>
      <c r="G21" s="671"/>
      <c r="H21" s="671"/>
      <c r="I21" s="691"/>
    </row>
    <row r="22" spans="1:9" ht="12.75" hidden="1" customHeight="1">
      <c r="A22" s="3889"/>
      <c r="B22" s="3891"/>
      <c r="C22" s="673"/>
      <c r="D22" s="687" t="s">
        <v>383</v>
      </c>
      <c r="E22" s="674" t="s">
        <v>384</v>
      </c>
      <c r="F22" s="674" t="s">
        <v>385</v>
      </c>
      <c r="G22" s="674" t="s">
        <v>386</v>
      </c>
      <c r="H22" s="674" t="s">
        <v>387</v>
      </c>
      <c r="I22" s="688" t="s">
        <v>388</v>
      </c>
    </row>
    <row r="23" spans="1:9" ht="12.75" hidden="1" customHeight="1">
      <c r="A23" s="320">
        <v>1</v>
      </c>
      <c r="B23" s="136" t="s">
        <v>754</v>
      </c>
      <c r="C23" s="391"/>
      <c r="D23" s="692">
        <f>'2.RL E'!H7</f>
        <v>292.1875</v>
      </c>
      <c r="E23" s="693">
        <f>'2.RL E'!L7</f>
        <v>292.1875</v>
      </c>
      <c r="F23" s="693">
        <f>'2.RL E'!P7</f>
        <v>292.1875</v>
      </c>
      <c r="G23" s="693">
        <f>'2.RL E'!H28</f>
        <v>292.1875</v>
      </c>
      <c r="H23" s="693">
        <f>'2.RL E'!L28</f>
        <v>292.1875</v>
      </c>
      <c r="I23" s="694">
        <f>'2.RL E'!P28</f>
        <v>292.1875</v>
      </c>
    </row>
    <row r="24" spans="1:9" ht="12.75" hidden="1" customHeight="1">
      <c r="A24" s="320"/>
      <c r="B24" s="136" t="s">
        <v>754</v>
      </c>
      <c r="C24" s="391"/>
      <c r="D24" s="692">
        <f>'2.RL E'!H8</f>
        <v>292.1875</v>
      </c>
      <c r="E24" s="693">
        <f>'2.RL E'!L8</f>
        <v>292.1875</v>
      </c>
      <c r="F24" s="693">
        <f>'2.RL E'!P8</f>
        <v>292.1875</v>
      </c>
      <c r="G24" s="693">
        <f>'2.RL E'!H29</f>
        <v>292.1875</v>
      </c>
      <c r="H24" s="693">
        <f>'2.RL E'!L29</f>
        <v>292.1875</v>
      </c>
      <c r="I24" s="694">
        <f>'2.RL E'!P29</f>
        <v>292.1875</v>
      </c>
    </row>
    <row r="25" spans="1:9" ht="12.75" hidden="1" customHeight="1">
      <c r="A25" s="320">
        <v>2</v>
      </c>
      <c r="B25" s="3892" t="s">
        <v>756</v>
      </c>
      <c r="C25" s="391"/>
      <c r="D25" s="692">
        <f>'2.RL E'!H9</f>
        <v>69.400000000000006</v>
      </c>
      <c r="E25" s="693">
        <f>'2.RL E'!L9</f>
        <v>69.400000000000006</v>
      </c>
      <c r="F25" s="693">
        <f>'2.RL E'!P9</f>
        <v>69.400000000000006</v>
      </c>
      <c r="G25" s="693">
        <f>'2.RL E'!H30</f>
        <v>69.400000000000006</v>
      </c>
      <c r="H25" s="693">
        <f>'2.RL E'!L30</f>
        <v>69.400000000000006</v>
      </c>
      <c r="I25" s="694">
        <f>'2.RL E'!P30</f>
        <v>69.400000000000006</v>
      </c>
    </row>
    <row r="26" spans="1:9" ht="12.75" hidden="1" customHeight="1">
      <c r="A26" s="320">
        <v>3</v>
      </c>
      <c r="B26" s="3893"/>
      <c r="C26" s="391"/>
      <c r="D26" s="692">
        <f>'2.RL E'!H10</f>
        <v>4.5110000000000001</v>
      </c>
      <c r="E26" s="693">
        <f>'2.RL E'!L10</f>
        <v>4.5110000000000001</v>
      </c>
      <c r="F26" s="693">
        <f>'2.RL E'!P10</f>
        <v>4.5110000000000001</v>
      </c>
      <c r="G26" s="693">
        <f>'2.RL E'!H31</f>
        <v>4.5110000000000001</v>
      </c>
      <c r="H26" s="693">
        <f>'2.RL E'!L31</f>
        <v>4.5110000000000001</v>
      </c>
      <c r="I26" s="694">
        <f>'2.RL E'!P31</f>
        <v>4.5110000000000001</v>
      </c>
    </row>
    <row r="27" spans="1:9" ht="12.75" hidden="1" customHeight="1">
      <c r="A27" s="320">
        <v>4</v>
      </c>
      <c r="B27" s="3894"/>
      <c r="C27" s="391"/>
      <c r="D27" s="692">
        <f>'2.RL E'!H11</f>
        <v>0</v>
      </c>
      <c r="E27" s="693">
        <f>'2.RL E'!L11</f>
        <v>0</v>
      </c>
      <c r="F27" s="693">
        <f>'2.RL E'!P11</f>
        <v>0</v>
      </c>
      <c r="G27" s="693">
        <f>'2.RL E'!H32</f>
        <v>0</v>
      </c>
      <c r="H27" s="693">
        <f>'2.RL E'!L32</f>
        <v>0</v>
      </c>
      <c r="I27" s="694" t="str">
        <f>'2.RL E'!P32</f>
        <v>N/A</v>
      </c>
    </row>
    <row r="28" spans="1:9" ht="12.75" hidden="1" customHeight="1">
      <c r="A28" s="320">
        <v>5</v>
      </c>
      <c r="B28" s="3892" t="s">
        <v>757</v>
      </c>
      <c r="C28" s="391"/>
      <c r="D28" s="692">
        <f>'2.RL E'!H12</f>
        <v>69.400000000000006</v>
      </c>
      <c r="E28" s="693">
        <f>'2.RL E'!L12</f>
        <v>69.400000000000006</v>
      </c>
      <c r="F28" s="693">
        <f>'2.RL E'!P12</f>
        <v>69.400000000000006</v>
      </c>
      <c r="G28" s="693">
        <f>'2.RL E'!H33</f>
        <v>69.400000000000006</v>
      </c>
      <c r="H28" s="693">
        <f>'2.RL E'!L33</f>
        <v>69.400000000000006</v>
      </c>
      <c r="I28" s="694">
        <f>'2.RL E'!P33</f>
        <v>69.400000000000006</v>
      </c>
    </row>
    <row r="29" spans="1:9" ht="12.75" hidden="1" customHeight="1">
      <c r="A29" s="320">
        <v>6</v>
      </c>
      <c r="B29" s="3893"/>
      <c r="C29" s="391"/>
      <c r="D29" s="692">
        <f>'2.RL E'!H13</f>
        <v>4.5110000000000001</v>
      </c>
      <c r="E29" s="693">
        <f>'2.RL E'!L13</f>
        <v>4.5110000000000001</v>
      </c>
      <c r="F29" s="693">
        <f>'2.RL E'!P13</f>
        <v>4.5110000000000001</v>
      </c>
      <c r="G29" s="693">
        <f>'2.RL E'!H34</f>
        <v>4.5110000000000001</v>
      </c>
      <c r="H29" s="693">
        <f>'2.RL E'!L34</f>
        <v>4.5110000000000001</v>
      </c>
      <c r="I29" s="694">
        <f>'2.RL E'!P34</f>
        <v>4.5110000000000001</v>
      </c>
    </row>
    <row r="30" spans="1:9" ht="12.75" hidden="1" customHeight="1">
      <c r="A30" s="320">
        <v>7</v>
      </c>
      <c r="B30" s="3894"/>
      <c r="C30" s="391"/>
      <c r="D30" s="692">
        <f>'2.RL E'!H14</f>
        <v>0</v>
      </c>
      <c r="E30" s="693">
        <f>'2.RL E'!L14</f>
        <v>0</v>
      </c>
      <c r="F30" s="693">
        <f>'2.RL E'!P14</f>
        <v>0</v>
      </c>
      <c r="G30" s="693">
        <f>'2.RL E'!H35</f>
        <v>0</v>
      </c>
      <c r="H30" s="693">
        <f>'2.RL E'!L35</f>
        <v>0</v>
      </c>
      <c r="I30" s="694" t="str">
        <f>'2.RL E'!P35</f>
        <v>N/A</v>
      </c>
    </row>
    <row r="31" spans="1:9" ht="12.75" hidden="1" customHeight="1">
      <c r="A31" s="320">
        <v>8</v>
      </c>
      <c r="B31" s="3892" t="s">
        <v>758</v>
      </c>
      <c r="C31" s="391"/>
      <c r="D31" s="692">
        <f>'2.RL E'!H15</f>
        <v>4.3680000000000003</v>
      </c>
      <c r="E31" s="693">
        <f>'2.RL E'!L15</f>
        <v>4.3680000000000003</v>
      </c>
      <c r="F31" s="693">
        <f>'2.RL E'!P15</f>
        <v>4.3680000000000003</v>
      </c>
      <c r="G31" s="693">
        <f>'2.RL E'!H36</f>
        <v>4.3680000000000003</v>
      </c>
      <c r="H31" s="693">
        <f>'2.RL E'!L36</f>
        <v>4.3680000000000003</v>
      </c>
      <c r="I31" s="694">
        <f>'2.RL E'!P36</f>
        <v>4.3680000000000003</v>
      </c>
    </row>
    <row r="32" spans="1:9" ht="12.75" hidden="1" customHeight="1">
      <c r="A32" s="320">
        <v>9</v>
      </c>
      <c r="B32" s="3894"/>
      <c r="C32" s="391"/>
      <c r="D32" s="692">
        <f>'2.RL E'!H16</f>
        <v>0</v>
      </c>
      <c r="E32" s="693">
        <f>'2.RL E'!L16</f>
        <v>0</v>
      </c>
      <c r="F32" s="693">
        <f>'2.RL E'!P16</f>
        <v>0</v>
      </c>
      <c r="G32" s="693">
        <f>'2.RL E'!H37</f>
        <v>0</v>
      </c>
      <c r="H32" s="693">
        <f>'2.RL E'!L37</f>
        <v>0</v>
      </c>
      <c r="I32" s="694">
        <f>'2.RL E'!P37</f>
        <v>0</v>
      </c>
    </row>
    <row r="33" spans="1:9" ht="12.75" hidden="1" customHeight="1">
      <c r="D33" s="695"/>
      <c r="I33" s="691"/>
    </row>
    <row r="34" spans="1:9" ht="12.75" hidden="1" customHeight="1">
      <c r="B34" s="668" t="s">
        <v>902</v>
      </c>
      <c r="C34" s="696"/>
      <c r="D34" s="695"/>
      <c r="I34" s="691"/>
    </row>
    <row r="35" spans="1:9" ht="12.75" hidden="1" customHeight="1">
      <c r="A35" s="3888" t="s">
        <v>7</v>
      </c>
      <c r="B35" s="3890" t="s">
        <v>753</v>
      </c>
      <c r="C35" s="670"/>
      <c r="D35" s="684" t="s">
        <v>154</v>
      </c>
      <c r="E35" s="671"/>
      <c r="F35" s="671"/>
      <c r="G35" s="671"/>
      <c r="H35" s="671"/>
      <c r="I35" s="691"/>
    </row>
    <row r="36" spans="1:9" ht="12.75" hidden="1" customHeight="1">
      <c r="A36" s="3889"/>
      <c r="B36" s="3891"/>
      <c r="C36" s="673"/>
      <c r="D36" s="687" t="s">
        <v>383</v>
      </c>
      <c r="E36" s="674" t="s">
        <v>384</v>
      </c>
      <c r="F36" s="674" t="s">
        <v>385</v>
      </c>
      <c r="G36" s="674" t="s">
        <v>386</v>
      </c>
      <c r="H36" s="674" t="s">
        <v>387</v>
      </c>
      <c r="I36" s="688" t="s">
        <v>388</v>
      </c>
    </row>
    <row r="37" spans="1:9" ht="12.75" hidden="1" customHeight="1">
      <c r="A37" s="320">
        <v>1</v>
      </c>
      <c r="B37" s="697" t="s">
        <v>447</v>
      </c>
      <c r="C37" s="391"/>
      <c r="D37" s="679">
        <f>'3.RL G'!E7</f>
        <v>41</v>
      </c>
      <c r="E37" s="680">
        <f>'3.RL G'!I7</f>
        <v>40</v>
      </c>
      <c r="F37" s="680">
        <f>'3.RL G'!M7</f>
        <v>38</v>
      </c>
      <c r="G37" s="680">
        <f>'3.RL G'!E24</f>
        <v>40</v>
      </c>
      <c r="H37" s="680">
        <f>'3.RL G'!I24</f>
        <v>41</v>
      </c>
      <c r="I37" s="691">
        <f>'3.RL G'!M24</f>
        <v>40</v>
      </c>
    </row>
    <row r="38" spans="1:9" ht="12.75" hidden="1" customHeight="1">
      <c r="A38" s="320">
        <v>2</v>
      </c>
      <c r="B38" s="697" t="s">
        <v>450</v>
      </c>
      <c r="C38" s="391"/>
      <c r="D38" s="679">
        <f>'3.RL G'!E8</f>
        <v>10.584999999999999</v>
      </c>
      <c r="E38" s="680">
        <f>'3.RL G'!I8</f>
        <v>11.315000000000001</v>
      </c>
      <c r="F38" s="680">
        <f>'3.RL G'!M8</f>
        <v>12.3</v>
      </c>
      <c r="G38" s="680">
        <f>'3.RL G'!E25</f>
        <v>10.584999999999999</v>
      </c>
      <c r="H38" s="680">
        <f>'3.RL G'!I25</f>
        <v>12</v>
      </c>
      <c r="I38" s="691">
        <f>'3.RL G'!M25</f>
        <v>11.5</v>
      </c>
    </row>
    <row r="39" spans="1:9" ht="12.75" hidden="1" customHeight="1">
      <c r="A39" s="320">
        <v>3</v>
      </c>
      <c r="B39" s="3892" t="s">
        <v>762</v>
      </c>
      <c r="C39" s="682" t="s">
        <v>605</v>
      </c>
      <c r="D39" s="679">
        <f>'3.RL G'!E9</f>
        <v>42.5</v>
      </c>
      <c r="E39" s="680">
        <f>'3.RL G'!I9</f>
        <v>50</v>
      </c>
      <c r="F39" s="680">
        <f>'3.RL G'!M9</f>
        <v>43</v>
      </c>
      <c r="G39" s="680">
        <f>'3.RL G'!E26</f>
        <v>48</v>
      </c>
      <c r="H39" s="680">
        <f>'3.RL G'!I26</f>
        <v>47</v>
      </c>
      <c r="I39" s="691">
        <f>'3.RL G'!M26</f>
        <v>50</v>
      </c>
    </row>
    <row r="40" spans="1:9" ht="12.75" hidden="1" customHeight="1">
      <c r="A40" s="320">
        <v>4</v>
      </c>
      <c r="B40" s="3893"/>
      <c r="C40" s="682" t="s">
        <v>609</v>
      </c>
      <c r="D40" s="679">
        <f>'3.RL G'!E10</f>
        <v>7.4561403508771926</v>
      </c>
      <c r="E40" s="680">
        <f>'3.RL G'!I10</f>
        <v>7</v>
      </c>
      <c r="F40" s="680">
        <f>'3.RL G'!M10</f>
        <v>7.2</v>
      </c>
      <c r="G40" s="680">
        <f>'3.RL G'!E27</f>
        <v>7.5</v>
      </c>
      <c r="H40" s="680">
        <f>'3.RL G'!I27</f>
        <v>7.1</v>
      </c>
      <c r="I40" s="691">
        <f>'3.RL G'!M27</f>
        <v>6.8</v>
      </c>
    </row>
    <row r="41" spans="1:9" ht="12.75" hidden="1" customHeight="1">
      <c r="A41" s="320">
        <v>5</v>
      </c>
      <c r="B41" s="3894"/>
      <c r="C41" s="682" t="s">
        <v>611</v>
      </c>
      <c r="D41" s="679">
        <f>'3.RL G'!E11</f>
        <v>0.11</v>
      </c>
      <c r="E41" s="680">
        <f>'3.RL G'!I11</f>
        <v>0.12</v>
      </c>
      <c r="F41" s="680">
        <f>'3.RL G'!M11</f>
        <v>0.14000000000000001</v>
      </c>
      <c r="G41" s="680">
        <f>'3.RL G'!E28</f>
        <v>0.14000000000000001</v>
      </c>
      <c r="H41" s="680">
        <f>'3.RL G'!I28</f>
        <v>0.2</v>
      </c>
      <c r="I41" s="691">
        <f>'3.RL G'!M28</f>
        <v>0.25</v>
      </c>
    </row>
    <row r="42" spans="1:9" ht="12.75" hidden="1" customHeight="1">
      <c r="A42" s="320">
        <v>6</v>
      </c>
      <c r="B42" s="3892" t="s">
        <v>763</v>
      </c>
      <c r="C42" s="391"/>
      <c r="D42" s="679">
        <f>'3.RL G'!E12</f>
        <v>1</v>
      </c>
      <c r="E42" s="680">
        <f>'3.RL G'!I12</f>
        <v>0.9</v>
      </c>
      <c r="F42" s="680">
        <f>'3.RL G'!M12</f>
        <v>0.95</v>
      </c>
      <c r="G42" s="680">
        <f>'3.RL G'!E29</f>
        <v>0.95</v>
      </c>
      <c r="H42" s="680">
        <f>'3.RL G'!I29</f>
        <v>0.95</v>
      </c>
      <c r="I42" s="691">
        <f>'3.RL G'!M29</f>
        <v>0.95</v>
      </c>
    </row>
    <row r="43" spans="1:9" ht="12.75" hidden="1" customHeight="1">
      <c r="A43" s="320">
        <v>7</v>
      </c>
      <c r="B43" s="3894"/>
      <c r="C43" s="391"/>
      <c r="D43" s="679">
        <f>'3.RL G'!E13</f>
        <v>10</v>
      </c>
      <c r="E43" s="680">
        <f>'3.RL G'!I13</f>
        <v>10</v>
      </c>
      <c r="F43" s="680">
        <f>'3.RL G'!M13</f>
        <v>9.5</v>
      </c>
      <c r="G43" s="680">
        <f>'3.RL G'!E30</f>
        <v>10</v>
      </c>
      <c r="H43" s="680">
        <f>'3.RL G'!I30</f>
        <v>10</v>
      </c>
      <c r="I43" s="691">
        <f>'3.RL G'!M30</f>
        <v>10</v>
      </c>
    </row>
    <row r="44" spans="1:9" ht="12.75" hidden="1" customHeight="1">
      <c r="A44" s="3887" t="s">
        <v>2</v>
      </c>
      <c r="B44" s="3887"/>
      <c r="C44" s="670"/>
      <c r="D44" s="684" t="s">
        <v>156</v>
      </c>
      <c r="E44" s="671"/>
      <c r="F44" s="671"/>
      <c r="G44" s="671"/>
      <c r="H44" s="671"/>
      <c r="I44" s="691"/>
    </row>
    <row r="45" spans="1:9" ht="12.75" hidden="1" customHeight="1">
      <c r="A45" s="148" t="s">
        <v>53</v>
      </c>
      <c r="B45" s="686" t="s">
        <v>760</v>
      </c>
      <c r="C45" s="670"/>
      <c r="D45" s="687" t="s">
        <v>383</v>
      </c>
      <c r="E45" s="674" t="s">
        <v>384</v>
      </c>
      <c r="F45" s="674" t="s">
        <v>385</v>
      </c>
      <c r="G45" s="674" t="s">
        <v>386</v>
      </c>
      <c r="H45" s="674" t="s">
        <v>387</v>
      </c>
      <c r="I45" s="688" t="s">
        <v>388</v>
      </c>
    </row>
    <row r="46" spans="1:9" ht="12.75" hidden="1" customHeight="1">
      <c r="A46" s="320">
        <v>1</v>
      </c>
      <c r="B46" s="322" t="s">
        <v>452</v>
      </c>
      <c r="C46" s="698"/>
      <c r="D46" s="679">
        <f>'3.RL G'!E16</f>
        <v>62</v>
      </c>
      <c r="E46" s="680">
        <f>'3.RL G'!I16</f>
        <v>60</v>
      </c>
      <c r="F46" s="680">
        <f>'3.RL G'!M16</f>
        <v>59</v>
      </c>
      <c r="G46" s="680">
        <f>'3.RL G'!E33</f>
        <v>60</v>
      </c>
      <c r="H46" s="680">
        <f>'3.RL G'!I33</f>
        <v>59</v>
      </c>
      <c r="I46" s="691">
        <f>'3.RL G'!M33</f>
        <v>58</v>
      </c>
    </row>
    <row r="47" spans="1:9" ht="12.75" hidden="1" customHeight="1">
      <c r="A47" s="320">
        <v>2</v>
      </c>
      <c r="B47" s="322" t="s">
        <v>764</v>
      </c>
      <c r="C47" s="698"/>
      <c r="D47" s="679">
        <f>'3.RL G'!E17</f>
        <v>66</v>
      </c>
      <c r="E47" s="680">
        <f>'3.RL G'!I17</f>
        <v>66</v>
      </c>
      <c r="F47" s="680">
        <f>'3.RL G'!M17</f>
        <v>66</v>
      </c>
      <c r="G47" s="680">
        <f>'3.RL G'!E34</f>
        <v>66</v>
      </c>
      <c r="H47" s="680">
        <f>'3.RL G'!I34</f>
        <v>67</v>
      </c>
      <c r="I47" s="691">
        <f>'3.RL G'!M34</f>
        <v>69</v>
      </c>
    </row>
    <row r="48" spans="1:9" ht="12.75" hidden="1" customHeight="1">
      <c r="A48" s="320">
        <v>3</v>
      </c>
      <c r="B48" s="322" t="s">
        <v>730</v>
      </c>
      <c r="C48" s="698"/>
      <c r="D48" s="679">
        <f>'3.RL G'!E18</f>
        <v>84</v>
      </c>
      <c r="E48" s="680">
        <f>'3.RL G'!I18</f>
        <v>83</v>
      </c>
      <c r="F48" s="680">
        <f>'3.RL G'!M18</f>
        <v>82</v>
      </c>
      <c r="G48" s="680">
        <f>'3.RL G'!E35</f>
        <v>81</v>
      </c>
      <c r="H48" s="680">
        <f>'3.RL G'!I35</f>
        <v>84</v>
      </c>
      <c r="I48" s="691">
        <f>'3.RL G'!M35</f>
        <v>82</v>
      </c>
    </row>
    <row r="49" spans="1:9" ht="12.75" hidden="1" customHeight="1">
      <c r="A49" s="3888" t="s">
        <v>7</v>
      </c>
      <c r="B49" s="3890" t="s">
        <v>753</v>
      </c>
      <c r="C49" s="670"/>
      <c r="D49" s="684" t="s">
        <v>155</v>
      </c>
      <c r="E49" s="671"/>
      <c r="F49" s="671"/>
      <c r="G49" s="671"/>
      <c r="H49" s="671"/>
      <c r="I49" s="691"/>
    </row>
    <row r="50" spans="1:9" ht="12.75" hidden="1" customHeight="1">
      <c r="A50" s="3889"/>
      <c r="B50" s="3891"/>
      <c r="C50" s="673"/>
      <c r="D50" s="687" t="s">
        <v>383</v>
      </c>
      <c r="E50" s="674" t="s">
        <v>384</v>
      </c>
      <c r="F50" s="674" t="s">
        <v>385</v>
      </c>
      <c r="G50" s="674" t="s">
        <v>386</v>
      </c>
      <c r="H50" s="674" t="s">
        <v>387</v>
      </c>
      <c r="I50" s="688" t="s">
        <v>388</v>
      </c>
    </row>
    <row r="51" spans="1:9" ht="12.75" hidden="1" customHeight="1">
      <c r="A51" s="320">
        <v>1</v>
      </c>
      <c r="B51" s="697" t="s">
        <v>447</v>
      </c>
      <c r="C51" s="391"/>
      <c r="D51" s="692">
        <f>'3.RL G'!G7</f>
        <v>0</v>
      </c>
      <c r="E51" s="693">
        <f>'3.RL G'!K7</f>
        <v>0</v>
      </c>
      <c r="F51" s="693">
        <f>'3.RL G'!O7</f>
        <v>4.66</v>
      </c>
      <c r="G51" s="693">
        <f>'3.RL G'!G24</f>
        <v>0</v>
      </c>
      <c r="H51" s="693">
        <f>'3.RL G'!K24</f>
        <v>0</v>
      </c>
      <c r="I51" s="699">
        <f>'3.RL G'!O24</f>
        <v>0</v>
      </c>
    </row>
    <row r="52" spans="1:9" ht="12.75" hidden="1" customHeight="1">
      <c r="A52" s="320">
        <v>2</v>
      </c>
      <c r="B52" s="697" t="s">
        <v>450</v>
      </c>
      <c r="C52" s="391"/>
      <c r="D52" s="692">
        <f>'3.RL G'!G8</f>
        <v>155.89296875000008</v>
      </c>
      <c r="E52" s="693">
        <f>'3.RL G'!K8</f>
        <v>96.466406249999892</v>
      </c>
      <c r="F52" s="693">
        <f>'3.RL G'!O8</f>
        <v>16.281249999999943</v>
      </c>
      <c r="G52" s="693">
        <f>'3.RL G'!G25</f>
        <v>155.89296875000008</v>
      </c>
      <c r="H52" s="693">
        <f>'3.RL G'!K25</f>
        <v>40.703125</v>
      </c>
      <c r="I52" s="699">
        <f>'3.RL G'!O25</f>
        <v>81.40625</v>
      </c>
    </row>
    <row r="53" spans="1:9" ht="12.75" hidden="1" customHeight="1">
      <c r="A53" s="320">
        <v>3</v>
      </c>
      <c r="B53" s="3892" t="s">
        <v>762</v>
      </c>
      <c r="C53" s="391"/>
      <c r="D53" s="692">
        <f>'3.RL G'!G9</f>
        <v>37.012500000000003</v>
      </c>
      <c r="E53" s="693">
        <f>'3.RL G'!K9</f>
        <v>0</v>
      </c>
      <c r="F53" s="693">
        <f>'3.RL G'!O9</f>
        <v>34.545000000000002</v>
      </c>
      <c r="G53" s="693">
        <f>'3.RL G'!G26</f>
        <v>9.8699999999999992</v>
      </c>
      <c r="H53" s="693">
        <f>'3.RL G'!K26</f>
        <v>14.805</v>
      </c>
      <c r="I53" s="699">
        <f>'3.RL G'!O26</f>
        <v>0</v>
      </c>
    </row>
    <row r="54" spans="1:9" ht="12.75" hidden="1" customHeight="1">
      <c r="A54" s="320">
        <v>4</v>
      </c>
      <c r="B54" s="3893"/>
      <c r="C54" s="391"/>
      <c r="D54" s="692">
        <f>'3.RL G'!G10</f>
        <v>0</v>
      </c>
      <c r="E54" s="693">
        <f>'3.RL G'!K10</f>
        <v>0</v>
      </c>
      <c r="F54" s="693">
        <f>'3.RL G'!O10</f>
        <v>0</v>
      </c>
      <c r="G54" s="693">
        <f>'3.RL G'!G27</f>
        <v>0</v>
      </c>
      <c r="H54" s="693">
        <f>'3.RL G'!K27</f>
        <v>0</v>
      </c>
      <c r="I54" s="699">
        <f>'3.RL G'!O27</f>
        <v>0</v>
      </c>
    </row>
    <row r="55" spans="1:9" ht="12.75" hidden="1" customHeight="1">
      <c r="A55" s="320">
        <v>5</v>
      </c>
      <c r="B55" s="3894"/>
      <c r="C55" s="391"/>
      <c r="D55" s="692">
        <f>'3.RL G'!G11</f>
        <v>0</v>
      </c>
      <c r="E55" s="693">
        <f>'3.RL G'!K11</f>
        <v>0</v>
      </c>
      <c r="F55" s="693">
        <f>'3.RL G'!O11</f>
        <v>0</v>
      </c>
      <c r="G55" s="693">
        <f>'3.RL G'!G28</f>
        <v>0</v>
      </c>
      <c r="H55" s="693">
        <f>'3.RL G'!K28</f>
        <v>0</v>
      </c>
      <c r="I55" s="699" t="str">
        <f>'3.RL G'!O28</f>
        <v>N/A</v>
      </c>
    </row>
    <row r="56" spans="1:9" ht="12.75" hidden="1" customHeight="1">
      <c r="A56" s="320">
        <v>6</v>
      </c>
      <c r="B56" s="3892" t="s">
        <v>763</v>
      </c>
      <c r="C56" s="391"/>
      <c r="D56" s="692">
        <f>'3.RL G'!G12</f>
        <v>0</v>
      </c>
      <c r="E56" s="693">
        <f>'3.RL G'!K12</f>
        <v>0.12339999999999998</v>
      </c>
      <c r="F56" s="693">
        <f>'3.RL G'!O12</f>
        <v>6.1700000000000053E-2</v>
      </c>
      <c r="G56" s="693">
        <f>'3.RL G'!G29</f>
        <v>6.1700000000000053E-2</v>
      </c>
      <c r="H56" s="693">
        <f>'3.RL G'!K29</f>
        <v>6.1700000000000053E-2</v>
      </c>
      <c r="I56" s="699">
        <f>'3.RL G'!O29</f>
        <v>6.1700000000000053E-2</v>
      </c>
    </row>
    <row r="57" spans="1:9" ht="12.75" hidden="1" customHeight="1">
      <c r="A57" s="320">
        <v>7</v>
      </c>
      <c r="B57" s="3894"/>
      <c r="C57" s="391"/>
      <c r="D57" s="692">
        <f>'3.RL G'!G13</f>
        <v>0</v>
      </c>
      <c r="E57" s="693">
        <f>'3.RL G'!K13</f>
        <v>0</v>
      </c>
      <c r="F57" s="693">
        <f>'3.RL G'!O13</f>
        <v>0</v>
      </c>
      <c r="G57" s="693">
        <f>'3.RL G'!G30</f>
        <v>0</v>
      </c>
      <c r="H57" s="693">
        <f>'3.RL G'!K30</f>
        <v>0</v>
      </c>
      <c r="I57" s="699">
        <f>'3.RL G'!O30</f>
        <v>0</v>
      </c>
    </row>
    <row r="58" spans="1:9" ht="12.75" hidden="1" customHeight="1">
      <c r="D58" s="695"/>
      <c r="I58" s="691"/>
    </row>
    <row r="59" spans="1:9" ht="12.75" hidden="1" customHeight="1">
      <c r="B59" s="668" t="s">
        <v>903</v>
      </c>
      <c r="C59" s="696"/>
      <c r="D59" s="695"/>
      <c r="I59" s="691"/>
    </row>
    <row r="60" spans="1:9" ht="12.75" hidden="1" customHeight="1">
      <c r="A60" s="3888" t="s">
        <v>7</v>
      </c>
      <c r="B60" s="3890" t="s">
        <v>753</v>
      </c>
      <c r="C60" s="670"/>
      <c r="D60" s="684" t="s">
        <v>154</v>
      </c>
      <c r="E60" s="671"/>
      <c r="F60" s="671"/>
      <c r="G60" s="671"/>
      <c r="H60" s="671"/>
      <c r="I60" s="691"/>
    </row>
    <row r="61" spans="1:9" ht="12.75" hidden="1" customHeight="1">
      <c r="A61" s="3889"/>
      <c r="B61" s="3891"/>
      <c r="C61" s="673"/>
      <c r="D61" s="687" t="s">
        <v>383</v>
      </c>
      <c r="E61" s="674" t="s">
        <v>384</v>
      </c>
      <c r="F61" s="674" t="s">
        <v>385</v>
      </c>
      <c r="G61" s="674" t="s">
        <v>386</v>
      </c>
      <c r="H61" s="674" t="s">
        <v>387</v>
      </c>
      <c r="I61" s="688" t="s">
        <v>388</v>
      </c>
    </row>
    <row r="62" spans="1:9" ht="12.75" hidden="1" customHeight="1">
      <c r="A62" s="148">
        <v>1</v>
      </c>
      <c r="B62" s="136" t="s">
        <v>904</v>
      </c>
      <c r="C62" s="391" t="s">
        <v>755</v>
      </c>
      <c r="D62" s="679">
        <f>'4.RL F'!F7</f>
        <v>0</v>
      </c>
      <c r="E62" s="680">
        <f>'4.RL F'!J7</f>
        <v>0</v>
      </c>
      <c r="F62" s="680">
        <f>'4.RL F'!N7</f>
        <v>0</v>
      </c>
      <c r="G62" s="680">
        <f>'4.RL F'!F28</f>
        <v>0</v>
      </c>
      <c r="H62" s="680">
        <f>'4.RL F'!J28</f>
        <v>0</v>
      </c>
      <c r="I62" s="691">
        <f>'4.RL F'!N28</f>
        <v>0</v>
      </c>
    </row>
    <row r="63" spans="1:9" ht="12.75" hidden="1" customHeight="1">
      <c r="A63" s="148"/>
      <c r="B63" s="136" t="s">
        <v>754</v>
      </c>
      <c r="C63" s="391" t="s">
        <v>755</v>
      </c>
      <c r="D63" s="679">
        <f>'4.RL F'!F8</f>
        <v>0</v>
      </c>
      <c r="E63" s="680">
        <f>'4.RL F'!J8</f>
        <v>0</v>
      </c>
      <c r="F63" s="680">
        <f>'4.RL F'!N8</f>
        <v>0</v>
      </c>
      <c r="G63" s="680">
        <f>'4.RL F'!F29</f>
        <v>0</v>
      </c>
      <c r="H63" s="680">
        <f>'4.RL F'!J29</f>
        <v>0</v>
      </c>
      <c r="I63" s="691">
        <f>'4.RL F'!N29</f>
        <v>0</v>
      </c>
    </row>
    <row r="64" spans="1:9" ht="12.75" hidden="1" customHeight="1">
      <c r="A64" s="320">
        <v>2</v>
      </c>
      <c r="B64" s="3892" t="s">
        <v>756</v>
      </c>
      <c r="C64" s="682" t="s">
        <v>605</v>
      </c>
      <c r="D64" s="679">
        <f>'4.RL F'!F9</f>
        <v>0</v>
      </c>
      <c r="E64" s="680">
        <f>'4.RL F'!J9</f>
        <v>0</v>
      </c>
      <c r="F64" s="680">
        <f>'4.RL F'!N9</f>
        <v>0</v>
      </c>
      <c r="G64" s="680">
        <f>'4.RL F'!F30</f>
        <v>0</v>
      </c>
      <c r="H64" s="680">
        <f>'4.RL F'!J30</f>
        <v>0</v>
      </c>
      <c r="I64" s="691">
        <f>'4.RL F'!N30</f>
        <v>0</v>
      </c>
    </row>
    <row r="65" spans="1:9" ht="12.75" hidden="1" customHeight="1">
      <c r="A65" s="320">
        <v>3</v>
      </c>
      <c r="B65" s="3893"/>
      <c r="C65" s="682" t="s">
        <v>609</v>
      </c>
      <c r="D65" s="679">
        <f>'4.RL F'!F10</f>
        <v>0</v>
      </c>
      <c r="E65" s="680">
        <f>'4.RL F'!J10</f>
        <v>0</v>
      </c>
      <c r="F65" s="680">
        <f>'4.RL F'!N10</f>
        <v>0</v>
      </c>
      <c r="G65" s="680">
        <f>'4.RL F'!F31</f>
        <v>0</v>
      </c>
      <c r="H65" s="680">
        <f>'4.RL F'!J31</f>
        <v>0</v>
      </c>
      <c r="I65" s="691">
        <f>'4.RL F'!N31</f>
        <v>0</v>
      </c>
    </row>
    <row r="66" spans="1:9" ht="12.75" hidden="1" customHeight="1">
      <c r="A66" s="320">
        <v>4</v>
      </c>
      <c r="B66" s="3894"/>
      <c r="C66" s="682" t="s">
        <v>611</v>
      </c>
      <c r="D66" s="679">
        <f>'4.RL F'!F11</f>
        <v>0</v>
      </c>
      <c r="E66" s="680">
        <f>'4.RL F'!J11</f>
        <v>0</v>
      </c>
      <c r="F66" s="680">
        <f>'4.RL F'!N11</f>
        <v>0</v>
      </c>
      <c r="G66" s="680">
        <f>'4.RL F'!F32</f>
        <v>0</v>
      </c>
      <c r="H66" s="680">
        <f>'4.RL F'!J32</f>
        <v>0</v>
      </c>
      <c r="I66" s="691">
        <f>'4.RL F'!N32</f>
        <v>0</v>
      </c>
    </row>
    <row r="67" spans="1:9" ht="12.75" hidden="1" customHeight="1">
      <c r="A67" s="320">
        <v>5</v>
      </c>
      <c r="B67" s="3892" t="s">
        <v>757</v>
      </c>
      <c r="C67" s="682" t="s">
        <v>605</v>
      </c>
      <c r="D67" s="679" t="e">
        <f>'4.RL F'!F12</f>
        <v>#REF!</v>
      </c>
      <c r="E67" s="680" t="e">
        <f>'4.RL F'!J12</f>
        <v>#REF!</v>
      </c>
      <c r="F67" s="680" t="e">
        <f>'4.RL F'!N12</f>
        <v>#REF!</v>
      </c>
      <c r="G67" s="680" t="e">
        <f>'4.RL F'!F33</f>
        <v>#REF!</v>
      </c>
      <c r="H67" s="680" t="e">
        <f>'4.RL F'!J33</f>
        <v>#REF!</v>
      </c>
      <c r="I67" s="691" t="e">
        <f>'4.RL F'!N33</f>
        <v>#REF!</v>
      </c>
    </row>
    <row r="68" spans="1:9" ht="12.75" hidden="1" customHeight="1">
      <c r="A68" s="320">
        <v>6</v>
      </c>
      <c r="B68" s="3893"/>
      <c r="C68" s="682" t="s">
        <v>609</v>
      </c>
      <c r="D68" s="679" t="e">
        <f>'4.RL F'!F13</f>
        <v>#REF!</v>
      </c>
      <c r="E68" s="680" t="e">
        <f>'4.RL F'!J13</f>
        <v>#REF!</v>
      </c>
      <c r="F68" s="680" t="e">
        <f>'4.RL F'!N13</f>
        <v>#REF!</v>
      </c>
      <c r="G68" s="680" t="e">
        <f>'4.RL F'!F34</f>
        <v>#REF!</v>
      </c>
      <c r="H68" s="680" t="e">
        <f>'4.RL F'!J34</f>
        <v>#REF!</v>
      </c>
      <c r="I68" s="691" t="e">
        <f>'4.RL F'!N34</f>
        <v>#REF!</v>
      </c>
    </row>
    <row r="69" spans="1:9" ht="12.75" hidden="1" customHeight="1">
      <c r="A69" s="320">
        <v>7</v>
      </c>
      <c r="B69" s="3894"/>
      <c r="C69" s="682" t="s">
        <v>611</v>
      </c>
      <c r="D69" s="679" t="e">
        <f>'4.RL F'!F14</f>
        <v>#REF!</v>
      </c>
      <c r="E69" s="680" t="e">
        <f>'4.RL F'!J14</f>
        <v>#REF!</v>
      </c>
      <c r="F69" s="680" t="e">
        <f>'4.RL F'!N14</f>
        <v>#REF!</v>
      </c>
      <c r="G69" s="680" t="e">
        <f>'4.RL F'!F35</f>
        <v>#REF!</v>
      </c>
      <c r="H69" s="680" t="e">
        <f>'4.RL F'!J35</f>
        <v>#REF!</v>
      </c>
      <c r="I69" s="691" t="e">
        <f>'4.RL F'!N35</f>
        <v>#REF!</v>
      </c>
    </row>
    <row r="70" spans="1:9" ht="12.75" hidden="1" customHeight="1">
      <c r="A70" s="320">
        <v>8</v>
      </c>
      <c r="B70" s="3892" t="s">
        <v>758</v>
      </c>
      <c r="C70" s="391" t="s">
        <v>759</v>
      </c>
      <c r="D70" s="679">
        <f>'4.RL F'!F15</f>
        <v>0</v>
      </c>
      <c r="E70" s="680">
        <f>'4.RL F'!J15</f>
        <v>0</v>
      </c>
      <c r="F70" s="680">
        <f>'4.RL F'!N15</f>
        <v>0</v>
      </c>
      <c r="G70" s="680">
        <f>'4.RL F'!F36</f>
        <v>0</v>
      </c>
      <c r="H70" s="680">
        <f>'4.RL F'!J36</f>
        <v>0</v>
      </c>
      <c r="I70" s="691">
        <f>'4.RL F'!N36</f>
        <v>0</v>
      </c>
    </row>
    <row r="71" spans="1:9" ht="12.75" hidden="1" customHeight="1">
      <c r="A71" s="320">
        <v>9</v>
      </c>
      <c r="B71" s="3894"/>
      <c r="C71" s="391" t="s">
        <v>617</v>
      </c>
      <c r="D71" s="679">
        <f>'4.RL F'!F16</f>
        <v>0</v>
      </c>
      <c r="E71" s="680">
        <f>'4.RL F'!J16</f>
        <v>0</v>
      </c>
      <c r="F71" s="680">
        <f>'4.RL F'!N16</f>
        <v>0</v>
      </c>
      <c r="G71" s="680">
        <f>'4.RL F'!F37</f>
        <v>0</v>
      </c>
      <c r="H71" s="680">
        <f>'4.RL F'!J37</f>
        <v>0</v>
      </c>
      <c r="I71" s="691">
        <f>'4.RL F'!N37</f>
        <v>0</v>
      </c>
    </row>
    <row r="72" spans="1:9" ht="12.75" hidden="1" customHeight="1">
      <c r="A72" s="3887" t="s">
        <v>2</v>
      </c>
      <c r="B72" s="3887"/>
      <c r="C72" s="670"/>
      <c r="D72" s="684" t="s">
        <v>156</v>
      </c>
      <c r="E72" s="671"/>
      <c r="F72" s="671"/>
      <c r="G72" s="671"/>
      <c r="H72" s="671"/>
      <c r="I72" s="691"/>
    </row>
    <row r="73" spans="1:9" ht="12.75" hidden="1" customHeight="1">
      <c r="A73" s="148" t="s">
        <v>53</v>
      </c>
      <c r="B73" s="686" t="s">
        <v>760</v>
      </c>
      <c r="C73" s="670"/>
      <c r="D73" s="687" t="s">
        <v>383</v>
      </c>
      <c r="E73" s="674" t="s">
        <v>384</v>
      </c>
      <c r="F73" s="674" t="s">
        <v>385</v>
      </c>
      <c r="G73" s="674" t="s">
        <v>386</v>
      </c>
      <c r="H73" s="674" t="s">
        <v>387</v>
      </c>
      <c r="I73" s="688" t="s">
        <v>388</v>
      </c>
    </row>
    <row r="74" spans="1:9" ht="12.75" hidden="1" customHeight="1">
      <c r="A74" s="320">
        <v>1</v>
      </c>
      <c r="B74" s="892" t="s">
        <v>905</v>
      </c>
      <c r="C74" s="690"/>
      <c r="D74" s="679">
        <f>'4.RL F'!F19</f>
        <v>0</v>
      </c>
      <c r="E74" s="680">
        <f>'4.RL F'!J19</f>
        <v>0</v>
      </c>
      <c r="F74" s="680">
        <f>'4.RL F'!N19</f>
        <v>0</v>
      </c>
      <c r="G74" s="680">
        <f>'4.RL F'!F40</f>
        <v>0</v>
      </c>
      <c r="H74" s="680">
        <f>'4.RL F'!J40</f>
        <v>0</v>
      </c>
      <c r="I74" s="691">
        <f>'4.RL F'!N40</f>
        <v>0</v>
      </c>
    </row>
    <row r="75" spans="1:9" ht="12.75" hidden="1" customHeight="1">
      <c r="A75" s="320">
        <v>2</v>
      </c>
      <c r="B75" s="689" t="s">
        <v>445</v>
      </c>
      <c r="C75" s="690"/>
      <c r="D75" s="679">
        <f>'4.RL F'!F20</f>
        <v>0</v>
      </c>
      <c r="E75" s="680">
        <f>'4.RL F'!J20</f>
        <v>0</v>
      </c>
      <c r="F75" s="680">
        <f>'4.RL F'!N20</f>
        <v>0</v>
      </c>
      <c r="G75" s="680">
        <f>'4.RL F'!F41</f>
        <v>0</v>
      </c>
      <c r="H75" s="680">
        <f>'4.RL F'!J41</f>
        <v>0</v>
      </c>
      <c r="I75" s="691">
        <f>'4.RL F'!N41</f>
        <v>0</v>
      </c>
    </row>
    <row r="76" spans="1:9" ht="12.75" hidden="1" customHeight="1">
      <c r="A76" s="320">
        <v>3</v>
      </c>
      <c r="B76" s="689" t="s">
        <v>438</v>
      </c>
      <c r="C76" s="690"/>
      <c r="D76" s="679">
        <f>'4.RL F'!F21</f>
        <v>0</v>
      </c>
      <c r="E76" s="680">
        <f>'4.RL F'!J21</f>
        <v>0</v>
      </c>
      <c r="F76" s="680">
        <f>'4.RL F'!N21</f>
        <v>0</v>
      </c>
      <c r="G76" s="680">
        <f>'4.RL F'!F42</f>
        <v>0</v>
      </c>
      <c r="H76" s="680">
        <f>'4.RL F'!J42</f>
        <v>0</v>
      </c>
      <c r="I76" s="691">
        <f>'4.RL F'!N42</f>
        <v>0</v>
      </c>
    </row>
    <row r="77" spans="1:9" ht="12.75" hidden="1" customHeight="1">
      <c r="A77" s="320">
        <v>4</v>
      </c>
      <c r="B77" s="689" t="s">
        <v>761</v>
      </c>
      <c r="C77" s="690"/>
      <c r="D77" s="679" t="e">
        <f>'4.RL F'!#REF!</f>
        <v>#REF!</v>
      </c>
      <c r="E77" s="680" t="e">
        <f>'4.RL F'!#REF!</f>
        <v>#REF!</v>
      </c>
      <c r="F77" s="680">
        <f>'4.RL F'!N22</f>
        <v>0</v>
      </c>
      <c r="G77" s="680" t="e">
        <f>'4.RL F'!#REF!</f>
        <v>#REF!</v>
      </c>
      <c r="H77" s="680" t="e">
        <f>'4.RL F'!#REF!</f>
        <v>#REF!</v>
      </c>
      <c r="I77" s="691"/>
    </row>
    <row r="78" spans="1:9" ht="12.75" hidden="1" customHeight="1">
      <c r="A78" s="3888" t="s">
        <v>7</v>
      </c>
      <c r="B78" s="3890" t="s">
        <v>753</v>
      </c>
      <c r="C78" s="670"/>
      <c r="D78" s="684" t="s">
        <v>155</v>
      </c>
      <c r="E78" s="671"/>
      <c r="F78" s="671"/>
      <c r="G78" s="671"/>
      <c r="H78" s="671"/>
      <c r="I78" s="691"/>
    </row>
    <row r="79" spans="1:9" ht="12.75" hidden="1" customHeight="1">
      <c r="A79" s="3889"/>
      <c r="B79" s="3891"/>
      <c r="C79" s="673"/>
      <c r="D79" s="687" t="s">
        <v>383</v>
      </c>
      <c r="E79" s="674" t="s">
        <v>384</v>
      </c>
      <c r="F79" s="674" t="s">
        <v>385</v>
      </c>
      <c r="G79" s="674" t="s">
        <v>386</v>
      </c>
      <c r="H79" s="674" t="s">
        <v>387</v>
      </c>
      <c r="I79" s="688" t="s">
        <v>388</v>
      </c>
    </row>
    <row r="80" spans="1:9" ht="12.75" hidden="1" customHeight="1">
      <c r="A80" s="320">
        <v>1</v>
      </c>
      <c r="B80" s="136" t="s">
        <v>905</v>
      </c>
      <c r="C80" s="391"/>
      <c r="D80" s="692">
        <f>'4.RL F'!H7</f>
        <v>93.2</v>
      </c>
      <c r="E80" s="693">
        <f>'4.RL F'!L7</f>
        <v>93.2</v>
      </c>
      <c r="F80" s="693">
        <f>'4.RL F'!P7</f>
        <v>93.2</v>
      </c>
      <c r="G80" s="693">
        <f>'4.RL F'!H28</f>
        <v>93.2</v>
      </c>
      <c r="H80" s="693">
        <f>'4.RL F'!L28</f>
        <v>93.2</v>
      </c>
      <c r="I80" s="691">
        <f>'4.RL F'!P28</f>
        <v>93.2</v>
      </c>
    </row>
    <row r="81" spans="1:9" ht="12.75" hidden="1" customHeight="1">
      <c r="A81" s="320"/>
      <c r="B81" s="136" t="s">
        <v>754</v>
      </c>
      <c r="C81" s="391"/>
      <c r="D81" s="692">
        <f>'4.RL F'!H8</f>
        <v>1017.578125</v>
      </c>
      <c r="E81" s="693">
        <f>'4.RL F'!L8</f>
        <v>1017.578125</v>
      </c>
      <c r="F81" s="693">
        <f>'4.RL F'!P8</f>
        <v>1017.578125</v>
      </c>
      <c r="G81" s="693">
        <f>'4.RL F'!H29</f>
        <v>1017.578125</v>
      </c>
      <c r="H81" s="693">
        <f>'4.RL F'!L29</f>
        <v>1017.578125</v>
      </c>
      <c r="I81" s="691">
        <f>'4.RL F'!P29</f>
        <v>1017.578125</v>
      </c>
    </row>
    <row r="82" spans="1:9" ht="12.75" hidden="1" customHeight="1">
      <c r="A82" s="320">
        <v>2</v>
      </c>
      <c r="B82" s="3892" t="s">
        <v>756</v>
      </c>
      <c r="C82" s="391"/>
      <c r="D82" s="692">
        <f>'4.RL F'!H9</f>
        <v>246.75</v>
      </c>
      <c r="E82" s="693">
        <f>'4.RL F'!L9</f>
        <v>246.75</v>
      </c>
      <c r="F82" s="693">
        <f>'4.RL F'!P9</f>
        <v>246.75</v>
      </c>
      <c r="G82" s="693">
        <f>'4.RL F'!H30</f>
        <v>246.75</v>
      </c>
      <c r="H82" s="693">
        <f>'4.RL F'!L30</f>
        <v>246.75</v>
      </c>
      <c r="I82" s="691">
        <f>'4.RL F'!P30</f>
        <v>246.75</v>
      </c>
    </row>
    <row r="83" spans="1:9" ht="12.75" hidden="1" customHeight="1">
      <c r="A83" s="320">
        <v>3</v>
      </c>
      <c r="B83" s="3893"/>
      <c r="C83" s="391"/>
      <c r="D83" s="692">
        <f>'4.RL F'!H10</f>
        <v>32.077500000000001</v>
      </c>
      <c r="E83" s="693">
        <f>'4.RL F'!L10</f>
        <v>32.077500000000001</v>
      </c>
      <c r="F83" s="693">
        <f>'4.RL F'!P10</f>
        <v>32.077500000000001</v>
      </c>
      <c r="G83" s="693">
        <f>'4.RL F'!H31</f>
        <v>32.077500000000001</v>
      </c>
      <c r="H83" s="693">
        <f>'4.RL F'!L31</f>
        <v>32.077500000000001</v>
      </c>
      <c r="I83" s="691">
        <f>'4.RL F'!P31</f>
        <v>32.077500000000001</v>
      </c>
    </row>
    <row r="84" spans="1:9" ht="12.75" hidden="1" customHeight="1">
      <c r="A84" s="320">
        <v>4</v>
      </c>
      <c r="B84" s="3894"/>
      <c r="C84" s="391"/>
      <c r="D84" s="692">
        <f>'4.RL F'!H11</f>
        <v>0</v>
      </c>
      <c r="E84" s="693">
        <f>'4.RL F'!L11</f>
        <v>0</v>
      </c>
      <c r="F84" s="693">
        <f>'4.RL F'!P11</f>
        <v>0</v>
      </c>
      <c r="G84" s="693">
        <f>'4.RL F'!H32</f>
        <v>0</v>
      </c>
      <c r="H84" s="693">
        <f>'4.RL F'!L32</f>
        <v>0</v>
      </c>
      <c r="I84" s="691">
        <f>'4.RL F'!P32</f>
        <v>0</v>
      </c>
    </row>
    <row r="85" spans="1:9" ht="12.75" hidden="1" customHeight="1">
      <c r="A85" s="320">
        <v>5</v>
      </c>
      <c r="B85" s="3892" t="s">
        <v>757</v>
      </c>
      <c r="C85" s="391"/>
      <c r="D85" s="692" t="e">
        <f>'4.RL F'!H12</f>
        <v>#REF!</v>
      </c>
      <c r="E85" s="693" t="e">
        <f>'4.RL F'!L12</f>
        <v>#REF!</v>
      </c>
      <c r="F85" s="693" t="e">
        <f>'4.RL F'!P12</f>
        <v>#REF!</v>
      </c>
      <c r="G85" s="693" t="e">
        <f>'4.RL F'!H33</f>
        <v>#REF!</v>
      </c>
      <c r="H85" s="693" t="e">
        <f>'4.RL F'!L33</f>
        <v>#REF!</v>
      </c>
      <c r="I85" s="691" t="e">
        <f>'4.RL F'!P33</f>
        <v>#REF!</v>
      </c>
    </row>
    <row r="86" spans="1:9" ht="12.75" hidden="1" customHeight="1">
      <c r="A86" s="320">
        <v>6</v>
      </c>
      <c r="B86" s="3893"/>
      <c r="C86" s="391"/>
      <c r="D86" s="692" t="e">
        <f>'4.RL F'!H13</f>
        <v>#REF!</v>
      </c>
      <c r="E86" s="693" t="e">
        <f>'4.RL F'!L13</f>
        <v>#REF!</v>
      </c>
      <c r="F86" s="693" t="e">
        <f>'4.RL F'!P13</f>
        <v>#REF!</v>
      </c>
      <c r="G86" s="693" t="e">
        <f>'4.RL F'!H34</f>
        <v>#REF!</v>
      </c>
      <c r="H86" s="693" t="e">
        <f>'4.RL F'!L34</f>
        <v>#REF!</v>
      </c>
      <c r="I86" s="691" t="e">
        <f>'4.RL F'!P34</f>
        <v>#REF!</v>
      </c>
    </row>
    <row r="87" spans="1:9" ht="12.75" hidden="1" customHeight="1">
      <c r="A87" s="320">
        <v>7</v>
      </c>
      <c r="B87" s="3894"/>
      <c r="C87" s="391"/>
      <c r="D87" s="692" t="e">
        <f>'4.RL F'!H14</f>
        <v>#REF!</v>
      </c>
      <c r="E87" s="693" t="e">
        <f>'4.RL F'!L14</f>
        <v>#REF!</v>
      </c>
      <c r="F87" s="693" t="e">
        <f>'4.RL F'!P14</f>
        <v>#REF!</v>
      </c>
      <c r="G87" s="693" t="e">
        <f>'4.RL F'!H35</f>
        <v>#REF!</v>
      </c>
      <c r="H87" s="693" t="e">
        <f>'4.RL F'!L35</f>
        <v>#REF!</v>
      </c>
      <c r="I87" s="691" t="e">
        <f>'4.RL F'!P35</f>
        <v>#REF!</v>
      </c>
    </row>
    <row r="88" spans="1:9" ht="12.75" hidden="1" customHeight="1">
      <c r="A88" s="320">
        <v>8</v>
      </c>
      <c r="B88" s="3892" t="s">
        <v>758</v>
      </c>
      <c r="C88" s="391"/>
      <c r="D88" s="692">
        <f>'4.RL F'!H15</f>
        <v>1.234</v>
      </c>
      <c r="E88" s="693">
        <f>'4.RL F'!L15</f>
        <v>1.234</v>
      </c>
      <c r="F88" s="693">
        <f>'4.RL F'!P15</f>
        <v>1.234</v>
      </c>
      <c r="G88" s="693">
        <f>'4.RL F'!H36</f>
        <v>1.234</v>
      </c>
      <c r="H88" s="693">
        <f>'4.RL F'!L36</f>
        <v>1.234</v>
      </c>
      <c r="I88" s="691">
        <f>'4.RL F'!P36</f>
        <v>1.234</v>
      </c>
    </row>
    <row r="89" spans="1:9" ht="12.75" hidden="1" customHeight="1">
      <c r="A89" s="320">
        <v>9</v>
      </c>
      <c r="B89" s="3894"/>
      <c r="C89" s="391"/>
      <c r="D89" s="692">
        <f>'4.RL F'!H16</f>
        <v>0</v>
      </c>
      <c r="E89" s="693">
        <f>'4.RL F'!L16</f>
        <v>0</v>
      </c>
      <c r="F89" s="693">
        <f>'4.RL F'!P16</f>
        <v>0</v>
      </c>
      <c r="G89" s="693">
        <f>'4.RL F'!H37</f>
        <v>0</v>
      </c>
      <c r="H89" s="693">
        <f>'4.RL F'!L37</f>
        <v>0</v>
      </c>
      <c r="I89" s="691">
        <f>'4.RL F'!P37</f>
        <v>0</v>
      </c>
    </row>
    <row r="90" spans="1:9" s="705" customFormat="1" ht="12.75" hidden="1" customHeight="1">
      <c r="A90" s="700"/>
      <c r="B90" s="701"/>
      <c r="C90" s="701"/>
      <c r="D90" s="702"/>
      <c r="E90" s="703"/>
      <c r="F90" s="703"/>
      <c r="G90" s="703"/>
      <c r="H90" s="703"/>
      <c r="I90" s="704"/>
    </row>
    <row r="91" spans="1:9" s="705" customFormat="1" ht="16.5" hidden="1" customHeight="1">
      <c r="A91" s="700"/>
      <c r="B91" s="706" t="s">
        <v>765</v>
      </c>
      <c r="C91" s="707"/>
      <c r="D91" s="708">
        <f>R.HN!C12</f>
        <v>3</v>
      </c>
      <c r="E91" s="709">
        <f>R.HN!D12</f>
        <v>3</v>
      </c>
      <c r="F91" s="709">
        <f>R.HN!E12</f>
        <v>3</v>
      </c>
      <c r="G91" s="709">
        <f>R.HN!F12</f>
        <v>3</v>
      </c>
      <c r="H91" s="709">
        <f>R.HN!G12</f>
        <v>3</v>
      </c>
      <c r="I91" s="710">
        <f>R.HN!H12</f>
        <v>3</v>
      </c>
    </row>
    <row r="92" spans="1:9" s="705" customFormat="1" ht="18" hidden="1" customHeight="1">
      <c r="A92" s="700"/>
      <c r="B92" s="706" t="s">
        <v>766</v>
      </c>
      <c r="C92" s="707"/>
      <c r="D92" s="702">
        <f>R.HN!C13</f>
        <v>4</v>
      </c>
      <c r="E92" s="703">
        <f>R.HN!D13</f>
        <v>4</v>
      </c>
      <c r="F92" s="703">
        <f>R.HN!E13</f>
        <v>4</v>
      </c>
      <c r="G92" s="703">
        <f>R.HN!F13</f>
        <v>4</v>
      </c>
      <c r="H92" s="703">
        <f>R.HN!G13</f>
        <v>4</v>
      </c>
      <c r="I92" s="711">
        <f>R.HN!H13</f>
        <v>4</v>
      </c>
    </row>
    <row r="93" spans="1:9" s="705" customFormat="1" ht="18" hidden="1" customHeight="1">
      <c r="A93" s="700"/>
      <c r="B93" s="706" t="s">
        <v>767</v>
      </c>
      <c r="C93" s="707"/>
      <c r="D93" s="708">
        <f>R.HN!C35</f>
        <v>0</v>
      </c>
      <c r="E93" s="709">
        <f>R.HN!D35</f>
        <v>0</v>
      </c>
      <c r="F93" s="709">
        <f>R.HN!E35</f>
        <v>0</v>
      </c>
      <c r="G93" s="709">
        <f>R.HN!F35</f>
        <v>0</v>
      </c>
      <c r="H93" s="709">
        <f>R.HN!G35</f>
        <v>0</v>
      </c>
      <c r="I93" s="710">
        <f>R.HN!H35</f>
        <v>0</v>
      </c>
    </row>
    <row r="94" spans="1:9" s="705" customFormat="1" ht="18" hidden="1" customHeight="1">
      <c r="A94" s="700"/>
      <c r="B94" s="706" t="s">
        <v>768</v>
      </c>
      <c r="C94" s="707"/>
      <c r="D94" s="702">
        <f>R.HN!C36</f>
        <v>0</v>
      </c>
      <c r="E94" s="703">
        <f>R.HN!D36</f>
        <v>0</v>
      </c>
      <c r="F94" s="703">
        <f>R.HN!E36</f>
        <v>0</v>
      </c>
      <c r="G94" s="703">
        <f>R.HN!F36</f>
        <v>0</v>
      </c>
      <c r="H94" s="703">
        <f>R.HN!G36</f>
        <v>0</v>
      </c>
      <c r="I94" s="711">
        <f>R.HN!H36</f>
        <v>0</v>
      </c>
    </row>
    <row r="95" spans="1:9" ht="12.75" customHeight="1" thickBot="1">
      <c r="A95" s="680"/>
      <c r="B95" s="391"/>
      <c r="C95" s="391"/>
      <c r="D95" s="712"/>
      <c r="E95" s="713"/>
      <c r="F95" s="713"/>
      <c r="G95" s="713"/>
      <c r="H95" s="713"/>
      <c r="I95" s="714"/>
    </row>
    <row r="96" spans="1:9" ht="12.75" customHeight="1">
      <c r="A96" s="680"/>
      <c r="B96" s="391"/>
      <c r="C96" s="391"/>
      <c r="D96" s="693"/>
      <c r="E96" s="693"/>
      <c r="F96" s="693"/>
      <c r="G96" s="693"/>
      <c r="H96" s="693"/>
    </row>
    <row r="98" spans="1:9" ht="12.75" customHeight="1">
      <c r="B98" s="668" t="s">
        <v>769</v>
      </c>
    </row>
    <row r="99" spans="1:9" ht="12.75" customHeight="1">
      <c r="A99" s="3898" t="s">
        <v>7</v>
      </c>
      <c r="B99" s="3900" t="s">
        <v>75</v>
      </c>
      <c r="C99" s="671" t="s">
        <v>154</v>
      </c>
      <c r="D99" s="671"/>
    </row>
    <row r="100" spans="1:9" ht="12.75" customHeight="1" thickBot="1">
      <c r="A100" s="3899"/>
      <c r="B100" s="3901"/>
      <c r="C100" s="674">
        <v>0.375</v>
      </c>
      <c r="D100" s="674">
        <v>0.54166666666666663</v>
      </c>
    </row>
    <row r="101" spans="1:9" ht="12.75" customHeight="1">
      <c r="A101" s="715">
        <v>1</v>
      </c>
      <c r="B101" s="322" t="s">
        <v>568</v>
      </c>
      <c r="C101" s="716">
        <f>'1.xi den'!H7</f>
        <v>15.3</v>
      </c>
      <c r="D101" s="717">
        <f>'1.xi den'!L7</f>
        <v>0</v>
      </c>
      <c r="E101" s="665"/>
      <c r="F101" s="665"/>
      <c r="G101" s="665"/>
      <c r="H101" s="665"/>
      <c r="I101" s="665"/>
    </row>
    <row r="102" spans="1:9" ht="12.75" hidden="1" customHeight="1">
      <c r="A102" s="715">
        <v>2</v>
      </c>
      <c r="B102" s="322" t="s">
        <v>569</v>
      </c>
      <c r="C102" s="718">
        <f>'1.xi den'!H8</f>
        <v>15</v>
      </c>
      <c r="D102" s="719">
        <f>'1.xi den'!L8</f>
        <v>0</v>
      </c>
      <c r="E102" s="665"/>
      <c r="F102" s="665"/>
      <c r="G102" s="665"/>
      <c r="H102" s="665"/>
      <c r="I102" s="665"/>
    </row>
    <row r="103" spans="1:9" ht="12.75" hidden="1" customHeight="1">
      <c r="A103" s="715">
        <v>3</v>
      </c>
      <c r="B103" s="322" t="s">
        <v>570</v>
      </c>
      <c r="C103" s="718">
        <f>'1.xi den'!H9</f>
        <v>15</v>
      </c>
      <c r="D103" s="719">
        <f>'1.xi den'!L9</f>
        <v>0</v>
      </c>
      <c r="E103" s="665"/>
      <c r="F103" s="665"/>
      <c r="G103" s="665"/>
      <c r="H103" s="665"/>
      <c r="I103" s="665"/>
    </row>
    <row r="104" spans="1:9" ht="12.75" hidden="1" customHeight="1">
      <c r="A104" s="715">
        <v>4</v>
      </c>
      <c r="B104" s="322" t="s">
        <v>572</v>
      </c>
      <c r="C104" s="718">
        <f>'1.xi den'!H10</f>
        <v>10.1</v>
      </c>
      <c r="D104" s="719">
        <f>'1.xi den'!L10</f>
        <v>0</v>
      </c>
      <c r="E104" s="665"/>
      <c r="F104" s="665"/>
      <c r="G104" s="665"/>
      <c r="H104" s="665"/>
      <c r="I104" s="665"/>
    </row>
    <row r="105" spans="1:9" ht="12.75" hidden="1" customHeight="1">
      <c r="A105" s="715">
        <v>5</v>
      </c>
      <c r="B105" s="720" t="s">
        <v>574</v>
      </c>
      <c r="C105" s="718">
        <f>'1.xi den'!H11</f>
        <v>1.2</v>
      </c>
      <c r="D105" s="719">
        <f>'1.xi den'!L11</f>
        <v>0</v>
      </c>
      <c r="E105" s="665"/>
      <c r="F105" s="665"/>
      <c r="G105" s="665"/>
      <c r="H105" s="665"/>
      <c r="I105" s="665"/>
    </row>
    <row r="106" spans="1:9" ht="12.75" hidden="1" customHeight="1">
      <c r="A106" s="715">
        <v>6</v>
      </c>
      <c r="B106" s="720" t="s">
        <v>576</v>
      </c>
      <c r="C106" s="718">
        <f>'1.xi den'!H12</f>
        <v>23.5</v>
      </c>
      <c r="D106" s="719">
        <f>'1.xi den'!L12</f>
        <v>0</v>
      </c>
      <c r="E106" s="665"/>
      <c r="F106" s="665"/>
      <c r="G106" s="665"/>
      <c r="H106" s="665"/>
      <c r="I106" s="665"/>
    </row>
    <row r="107" spans="1:9" ht="12.75" hidden="1" customHeight="1">
      <c r="A107" s="715">
        <v>7</v>
      </c>
      <c r="B107" s="720" t="s">
        <v>578</v>
      </c>
      <c r="C107" s="718">
        <f>'1.xi den'!H13</f>
        <v>7.5</v>
      </c>
      <c r="D107" s="719">
        <f>'1.xi den'!L13</f>
        <v>0</v>
      </c>
      <c r="E107" s="665"/>
      <c r="F107" s="665"/>
      <c r="G107" s="665"/>
      <c r="H107" s="665"/>
      <c r="I107" s="665"/>
    </row>
    <row r="108" spans="1:9" ht="12.75" hidden="1" customHeight="1">
      <c r="A108" s="715">
        <v>8</v>
      </c>
      <c r="B108" s="322" t="s">
        <v>580</v>
      </c>
      <c r="C108" s="718">
        <f>'1.xi den'!H14</f>
        <v>7.3</v>
      </c>
      <c r="D108" s="719">
        <f>'1.xi den'!L14</f>
        <v>0</v>
      </c>
      <c r="E108" s="665"/>
      <c r="F108" s="665"/>
      <c r="G108" s="665"/>
      <c r="H108" s="665"/>
      <c r="I108" s="665"/>
    </row>
    <row r="109" spans="1:9" ht="12.75" hidden="1" customHeight="1">
      <c r="A109" s="715">
        <v>9</v>
      </c>
      <c r="B109" s="720" t="s">
        <v>770</v>
      </c>
      <c r="C109" s="718">
        <f>'1.xi den'!H15</f>
        <v>5.4</v>
      </c>
      <c r="D109" s="719">
        <f>'1.xi den'!L15</f>
        <v>0</v>
      </c>
      <c r="E109" s="665"/>
      <c r="F109" s="665"/>
      <c r="G109" s="665"/>
      <c r="H109" s="665"/>
      <c r="I109" s="665"/>
    </row>
    <row r="110" spans="1:9" ht="12.75" hidden="1" customHeight="1">
      <c r="A110" s="721">
        <v>10</v>
      </c>
      <c r="B110" s="722" t="s">
        <v>771</v>
      </c>
      <c r="C110" s="718">
        <f>'1.xi den'!H17</f>
        <v>15.035953785246829</v>
      </c>
      <c r="D110" s="719">
        <f>'1.xi den'!L17</f>
        <v>0</v>
      </c>
      <c r="E110" s="665"/>
      <c r="F110" s="665"/>
      <c r="G110" s="665"/>
      <c r="H110" s="665"/>
      <c r="I110" s="665"/>
    </row>
    <row r="111" spans="1:9" ht="12.75" hidden="1" customHeight="1">
      <c r="A111" s="721">
        <v>11</v>
      </c>
      <c r="B111" s="722" t="s">
        <v>772</v>
      </c>
      <c r="C111" s="718">
        <f>'1.xi den'!H18</f>
        <v>12.3</v>
      </c>
      <c r="D111" s="719">
        <f>'1.xi den'!L18</f>
        <v>0</v>
      </c>
      <c r="E111" s="665"/>
      <c r="F111" s="665"/>
      <c r="G111" s="665"/>
      <c r="H111" s="665"/>
      <c r="I111" s="665"/>
    </row>
    <row r="112" spans="1:9" ht="12.75" hidden="1" customHeight="1">
      <c r="A112" s="721">
        <v>12</v>
      </c>
      <c r="B112" s="722" t="s">
        <v>377</v>
      </c>
      <c r="C112" s="718">
        <f>'1.xi den'!H21</f>
        <v>0.43407043407043394</v>
      </c>
      <c r="D112" s="719">
        <f>'1.xi den'!L21</f>
        <v>0</v>
      </c>
      <c r="E112" s="665"/>
      <c r="F112" s="665"/>
      <c r="G112" s="665"/>
      <c r="H112" s="665"/>
      <c r="I112" s="665"/>
    </row>
    <row r="113" spans="1:9" ht="12.75" hidden="1" customHeight="1">
      <c r="A113" s="721">
        <v>13</v>
      </c>
      <c r="B113" s="722" t="s">
        <v>380</v>
      </c>
      <c r="C113" s="718">
        <f>'1.xi den'!H22</f>
        <v>0.26837996096291455</v>
      </c>
      <c r="D113" s="719">
        <f>'1.xi den'!L22</f>
        <v>0</v>
      </c>
      <c r="E113" s="665"/>
      <c r="F113" s="665"/>
      <c r="G113" s="665"/>
      <c r="H113" s="665"/>
      <c r="I113" s="665"/>
    </row>
    <row r="114" spans="1:9" ht="12.75" hidden="1" customHeight="1">
      <c r="A114" s="320"/>
      <c r="B114" s="723" t="s">
        <v>108</v>
      </c>
      <c r="C114" s="724" t="s">
        <v>156</v>
      </c>
      <c r="D114" s="725"/>
      <c r="E114" s="665"/>
      <c r="F114" s="665"/>
      <c r="G114" s="665"/>
      <c r="H114" s="665"/>
      <c r="I114" s="665"/>
    </row>
    <row r="115" spans="1:9" ht="12.75" hidden="1" customHeight="1">
      <c r="A115" s="465" t="s">
        <v>7</v>
      </c>
      <c r="B115" s="723" t="s">
        <v>60</v>
      </c>
      <c r="C115" s="726">
        <v>0.375</v>
      </c>
      <c r="D115" s="727">
        <v>0.54166666666666663</v>
      </c>
      <c r="E115" s="665"/>
      <c r="F115" s="665"/>
      <c r="G115" s="665"/>
      <c r="H115" s="665"/>
      <c r="I115" s="665"/>
    </row>
    <row r="116" spans="1:9" ht="12.75" hidden="1" customHeight="1">
      <c r="A116" s="465">
        <v>1</v>
      </c>
      <c r="B116" s="136" t="s">
        <v>471</v>
      </c>
      <c r="C116" s="718">
        <f>'1.xi den'!H25</f>
        <v>58</v>
      </c>
      <c r="D116" s="719">
        <f>'1.xi den'!L25</f>
        <v>0</v>
      </c>
      <c r="E116" s="665"/>
      <c r="F116" s="665"/>
      <c r="G116" s="665"/>
      <c r="H116" s="665"/>
      <c r="I116" s="665"/>
    </row>
    <row r="117" spans="1:9" ht="12.75" hidden="1" customHeight="1">
      <c r="A117" s="465">
        <v>2</v>
      </c>
      <c r="B117" s="136" t="s">
        <v>475</v>
      </c>
      <c r="C117" s="718">
        <f>'1.xi den'!H26</f>
        <v>57</v>
      </c>
      <c r="D117" s="719">
        <f>'1.xi den'!L26</f>
        <v>0</v>
      </c>
      <c r="E117" s="665"/>
      <c r="F117" s="665"/>
      <c r="G117" s="665"/>
      <c r="H117" s="665"/>
      <c r="I117" s="665"/>
    </row>
    <row r="118" spans="1:9" ht="12.75" hidden="1" customHeight="1">
      <c r="A118" s="465">
        <v>3</v>
      </c>
      <c r="B118" s="136" t="s">
        <v>477</v>
      </c>
      <c r="C118" s="718">
        <f>'1.xi den'!H27</f>
        <v>58</v>
      </c>
      <c r="D118" s="719">
        <f>'1.xi den'!L27</f>
        <v>0</v>
      </c>
      <c r="E118" s="665"/>
      <c r="F118" s="665"/>
      <c r="G118" s="665"/>
      <c r="H118" s="665"/>
      <c r="I118" s="665"/>
    </row>
    <row r="119" spans="1:9" ht="12.75" hidden="1" customHeight="1">
      <c r="A119" s="465">
        <v>4</v>
      </c>
      <c r="B119" s="136" t="s">
        <v>508</v>
      </c>
      <c r="C119" s="718">
        <f>'1.xi den'!H28</f>
        <v>40</v>
      </c>
      <c r="D119" s="719">
        <f>'1.xi den'!L28</f>
        <v>0</v>
      </c>
      <c r="E119" s="665"/>
      <c r="F119" s="665"/>
      <c r="G119" s="665"/>
      <c r="H119" s="665"/>
      <c r="I119" s="665"/>
    </row>
    <row r="120" spans="1:9" ht="12.75" hidden="1" customHeight="1">
      <c r="A120" s="465">
        <v>5</v>
      </c>
      <c r="B120" s="136" t="s">
        <v>773</v>
      </c>
      <c r="C120" s="718">
        <f>'1.xi den'!H29</f>
        <v>31</v>
      </c>
      <c r="D120" s="719">
        <f>'1.xi den'!L29</f>
        <v>0</v>
      </c>
      <c r="E120" s="665"/>
      <c r="F120" s="665"/>
      <c r="G120" s="665"/>
      <c r="H120" s="665"/>
      <c r="I120" s="665"/>
    </row>
    <row r="121" spans="1:9" ht="12.75" hidden="1" customHeight="1">
      <c r="A121" s="465">
        <v>6</v>
      </c>
      <c r="B121" s="136" t="s">
        <v>516</v>
      </c>
      <c r="C121" s="718">
        <f>'1.xi den'!I31</f>
        <v>190</v>
      </c>
      <c r="D121" s="719">
        <f>'1.xi den'!M31</f>
        <v>0</v>
      </c>
      <c r="E121" s="665"/>
      <c r="F121" s="665"/>
      <c r="G121" s="665"/>
      <c r="H121" s="665"/>
      <c r="I121" s="665"/>
    </row>
    <row r="122" spans="1:9" ht="12.75" hidden="1" customHeight="1">
      <c r="A122" s="465">
        <v>1</v>
      </c>
      <c r="B122" s="728" t="s">
        <v>774</v>
      </c>
      <c r="C122" s="726">
        <v>0.375</v>
      </c>
      <c r="D122" s="727">
        <v>0.54166666666666663</v>
      </c>
      <c r="E122" s="665"/>
      <c r="F122" s="665"/>
      <c r="G122" s="665"/>
      <c r="H122" s="665"/>
      <c r="I122" s="665"/>
    </row>
    <row r="123" spans="1:9" ht="12.75" hidden="1" customHeight="1">
      <c r="A123" s="465">
        <v>2</v>
      </c>
      <c r="B123" s="729" t="s">
        <v>518</v>
      </c>
      <c r="C123" s="718">
        <f>'1.xi den'!H33</f>
        <v>986</v>
      </c>
      <c r="D123" s="719">
        <f>'1.xi den'!L33</f>
        <v>0</v>
      </c>
      <c r="E123" s="665"/>
      <c r="F123" s="665"/>
      <c r="G123" s="665"/>
      <c r="H123" s="665"/>
      <c r="I123" s="665"/>
    </row>
    <row r="124" spans="1:9" ht="12.75" hidden="1" customHeight="1">
      <c r="A124" s="730"/>
      <c r="B124" s="731" t="s">
        <v>521</v>
      </c>
      <c r="C124" s="718">
        <f>'1.xi den'!H34</f>
        <v>0</v>
      </c>
      <c r="D124" s="719">
        <f>'1.xi den'!L34</f>
        <v>0</v>
      </c>
      <c r="E124" s="665"/>
      <c r="F124" s="665"/>
      <c r="G124" s="665"/>
      <c r="H124" s="665"/>
      <c r="I124" s="665"/>
    </row>
    <row r="125" spans="1:9" ht="12.75" hidden="1" customHeight="1">
      <c r="A125" s="732"/>
      <c r="B125" s="733"/>
      <c r="C125" s="734" t="s">
        <v>155</v>
      </c>
      <c r="D125" s="725"/>
      <c r="E125" s="665"/>
      <c r="F125" s="665"/>
      <c r="G125" s="665"/>
      <c r="H125" s="665"/>
      <c r="I125" s="665"/>
    </row>
    <row r="126" spans="1:9" ht="12.75" hidden="1" customHeight="1">
      <c r="A126" s="735"/>
      <c r="B126" s="736"/>
      <c r="C126" s="726">
        <v>0.375</v>
      </c>
      <c r="D126" s="727">
        <v>0.54166666666666663</v>
      </c>
      <c r="E126" s="665"/>
      <c r="F126" s="665"/>
      <c r="G126" s="665"/>
      <c r="H126" s="665"/>
      <c r="I126" s="665"/>
    </row>
    <row r="127" spans="1:9" ht="12.75" hidden="1" customHeight="1">
      <c r="A127" s="715">
        <v>1</v>
      </c>
      <c r="B127" s="322" t="s">
        <v>568</v>
      </c>
      <c r="C127" s="737">
        <f>'1.xi den'!J7</f>
        <v>0</v>
      </c>
      <c r="D127" s="738">
        <f>'1.xi den'!N7</f>
        <v>0</v>
      </c>
      <c r="E127" s="665"/>
      <c r="F127" s="665"/>
      <c r="G127" s="665"/>
      <c r="H127" s="665"/>
      <c r="I127" s="665"/>
    </row>
    <row r="128" spans="1:9" ht="12.75" hidden="1" customHeight="1">
      <c r="A128" s="715">
        <v>2</v>
      </c>
      <c r="B128" s="322" t="s">
        <v>569</v>
      </c>
      <c r="C128" s="737">
        <f>'1.xi den'!J8</f>
        <v>0</v>
      </c>
      <c r="D128" s="738">
        <f>'1.xi den'!N8</f>
        <v>0</v>
      </c>
      <c r="E128" s="665"/>
      <c r="F128" s="665"/>
      <c r="G128" s="665"/>
      <c r="H128" s="665"/>
      <c r="I128" s="665"/>
    </row>
    <row r="129" spans="1:9" ht="12.75" hidden="1" customHeight="1">
      <c r="A129" s="715">
        <v>3</v>
      </c>
      <c r="B129" s="322" t="s">
        <v>570</v>
      </c>
      <c r="C129" s="737">
        <f>'1.xi den'!J9</f>
        <v>0</v>
      </c>
      <c r="D129" s="738">
        <f>'1.xi den'!N9</f>
        <v>0</v>
      </c>
      <c r="E129" s="665"/>
      <c r="F129" s="665"/>
      <c r="G129" s="665"/>
      <c r="H129" s="665"/>
      <c r="I129" s="665"/>
    </row>
    <row r="130" spans="1:9" ht="12.75" hidden="1" customHeight="1">
      <c r="A130" s="715">
        <v>4</v>
      </c>
      <c r="B130" s="322" t="s">
        <v>572</v>
      </c>
      <c r="C130" s="737">
        <f>'1.xi den'!J10</f>
        <v>0</v>
      </c>
      <c r="D130" s="738">
        <f>'1.xi den'!N10</f>
        <v>0</v>
      </c>
      <c r="E130" s="665"/>
      <c r="F130" s="665"/>
      <c r="G130" s="665"/>
      <c r="H130" s="665"/>
      <c r="I130" s="665"/>
    </row>
    <row r="131" spans="1:9" ht="12.75" hidden="1" customHeight="1">
      <c r="A131" s="715">
        <v>5</v>
      </c>
      <c r="B131" s="720" t="s">
        <v>574</v>
      </c>
      <c r="C131" s="737">
        <f>'1.xi den'!J11</f>
        <v>0</v>
      </c>
      <c r="D131" s="738">
        <f>'1.xi den'!N11</f>
        <v>0</v>
      </c>
      <c r="E131" s="665"/>
      <c r="F131" s="665"/>
      <c r="G131" s="665"/>
      <c r="H131" s="665"/>
      <c r="I131" s="665"/>
    </row>
    <row r="132" spans="1:9" ht="12.75" hidden="1" customHeight="1">
      <c r="A132" s="715">
        <v>6</v>
      </c>
      <c r="B132" s="720" t="s">
        <v>576</v>
      </c>
      <c r="C132" s="737">
        <f>'1.xi den'!J12</f>
        <v>0</v>
      </c>
      <c r="D132" s="738">
        <f>'1.xi den'!N12</f>
        <v>0</v>
      </c>
      <c r="E132" s="665"/>
      <c r="F132" s="665"/>
      <c r="G132" s="665"/>
      <c r="H132" s="665"/>
      <c r="I132" s="665"/>
    </row>
    <row r="133" spans="1:9" ht="12.75" hidden="1" customHeight="1">
      <c r="A133" s="715">
        <v>7</v>
      </c>
      <c r="B133" s="720" t="s">
        <v>578</v>
      </c>
      <c r="C133" s="737">
        <f>'1.xi den'!J13</f>
        <v>0</v>
      </c>
      <c r="D133" s="738">
        <f>'1.xi den'!N13</f>
        <v>0</v>
      </c>
      <c r="E133" s="665"/>
      <c r="F133" s="665"/>
      <c r="G133" s="665"/>
      <c r="H133" s="665"/>
      <c r="I133" s="665"/>
    </row>
    <row r="134" spans="1:9" ht="12.75" hidden="1" customHeight="1">
      <c r="A134" s="715">
        <v>8</v>
      </c>
      <c r="B134" s="322" t="s">
        <v>580</v>
      </c>
      <c r="C134" s="737">
        <f>'1.xi den'!J14</f>
        <v>0</v>
      </c>
      <c r="D134" s="738">
        <f>'1.xi den'!N14</f>
        <v>0</v>
      </c>
      <c r="E134" s="665"/>
      <c r="F134" s="665"/>
      <c r="G134" s="665"/>
      <c r="H134" s="665"/>
      <c r="I134" s="665"/>
    </row>
    <row r="135" spans="1:9" ht="12.75" hidden="1" customHeight="1">
      <c r="A135" s="715">
        <v>9</v>
      </c>
      <c r="B135" s="720" t="s">
        <v>770</v>
      </c>
      <c r="C135" s="737">
        <f>'1.xi den'!J15</f>
        <v>0</v>
      </c>
      <c r="D135" s="738">
        <f>'1.xi den'!N15</f>
        <v>0</v>
      </c>
      <c r="E135" s="665"/>
      <c r="F135" s="665"/>
      <c r="G135" s="665"/>
      <c r="H135" s="665"/>
      <c r="I135" s="665"/>
    </row>
    <row r="136" spans="1:9" ht="12.75" hidden="1" customHeight="1">
      <c r="A136" s="721">
        <v>10</v>
      </c>
      <c r="B136" s="722" t="s">
        <v>771</v>
      </c>
      <c r="C136" s="737">
        <f>'1.xi den'!J17</f>
        <v>0</v>
      </c>
      <c r="D136" s="738">
        <f>'1.xi den'!N17</f>
        <v>0</v>
      </c>
      <c r="E136" s="665"/>
      <c r="F136" s="665"/>
      <c r="G136" s="665"/>
      <c r="H136" s="665"/>
      <c r="I136" s="665"/>
    </row>
    <row r="137" spans="1:9" ht="12.75" hidden="1" customHeight="1">
      <c r="A137" s="721">
        <v>11</v>
      </c>
      <c r="B137" s="722" t="s">
        <v>772</v>
      </c>
      <c r="C137" s="737">
        <f>'1.xi den'!J18</f>
        <v>0</v>
      </c>
      <c r="D137" s="738">
        <f>'1.xi den'!N18</f>
        <v>0</v>
      </c>
      <c r="E137" s="665"/>
      <c r="F137" s="665"/>
      <c r="G137" s="665"/>
      <c r="H137" s="665"/>
      <c r="I137" s="665"/>
    </row>
    <row r="138" spans="1:9" ht="12.75" hidden="1" customHeight="1">
      <c r="A138" s="721">
        <v>12</v>
      </c>
      <c r="B138" s="722" t="s">
        <v>377</v>
      </c>
      <c r="C138" s="737">
        <f>'1.xi den'!J21</f>
        <v>0</v>
      </c>
      <c r="D138" s="738">
        <f>'1.xi den'!N21</f>
        <v>0</v>
      </c>
      <c r="E138" s="665"/>
      <c r="F138" s="665"/>
      <c r="G138" s="665"/>
      <c r="H138" s="665"/>
      <c r="I138" s="665"/>
    </row>
    <row r="139" spans="1:9" ht="12.75" hidden="1" customHeight="1">
      <c r="A139" s="721">
        <v>13</v>
      </c>
      <c r="B139" s="722" t="s">
        <v>380</v>
      </c>
      <c r="C139" s="737">
        <f>'1.xi den'!J22</f>
        <v>0</v>
      </c>
      <c r="D139" s="738">
        <f>'1.xi den'!N22</f>
        <v>0</v>
      </c>
      <c r="E139" s="665"/>
      <c r="F139" s="665"/>
      <c r="G139" s="665"/>
      <c r="H139" s="665"/>
      <c r="I139" s="665"/>
    </row>
    <row r="140" spans="1:9" ht="12.75" customHeight="1" thickBot="1">
      <c r="A140" s="672"/>
      <c r="B140" s="391"/>
      <c r="C140" s="739"/>
      <c r="D140" s="740"/>
      <c r="E140" s="665"/>
      <c r="F140" s="665"/>
      <c r="G140" s="665"/>
      <c r="H140" s="665"/>
      <c r="I140" s="665"/>
    </row>
    <row r="141" spans="1:9" ht="12.75" customHeight="1">
      <c r="A141" s="672"/>
      <c r="B141" s="391"/>
      <c r="E141" s="665"/>
      <c r="F141" s="665"/>
      <c r="G141" s="665"/>
      <c r="H141" s="665"/>
      <c r="I141" s="665"/>
    </row>
    <row r="143" spans="1:9" ht="12.75" customHeight="1">
      <c r="A143" s="3902" t="s">
        <v>775</v>
      </c>
      <c r="B143" s="3903"/>
      <c r="E143" s="665"/>
      <c r="F143" s="665"/>
      <c r="G143" s="665"/>
      <c r="H143" s="665"/>
      <c r="I143" s="665"/>
    </row>
    <row r="144" spans="1:9" ht="12.75" customHeight="1">
      <c r="A144" s="3300" t="s">
        <v>7</v>
      </c>
      <c r="B144" s="3905" t="s">
        <v>75</v>
      </c>
      <c r="C144" s="671" t="s">
        <v>154</v>
      </c>
      <c r="D144" s="671"/>
      <c r="E144" s="665"/>
      <c r="F144" s="665"/>
      <c r="G144" s="665"/>
      <c r="H144" s="665"/>
      <c r="I144" s="665"/>
    </row>
    <row r="145" spans="1:9" ht="12.75" customHeight="1" thickBot="1">
      <c r="A145" s="3904"/>
      <c r="B145" s="3906"/>
      <c r="C145" s="674">
        <v>0.33333333333333331</v>
      </c>
      <c r="D145" s="674">
        <v>0.83333333333333337</v>
      </c>
      <c r="E145" s="665"/>
      <c r="F145" s="665"/>
      <c r="G145" s="665"/>
      <c r="H145" s="665"/>
      <c r="I145" s="665"/>
    </row>
    <row r="146" spans="1:9" ht="12.75" customHeight="1">
      <c r="A146" s="741">
        <v>1</v>
      </c>
      <c r="B146" s="742" t="s">
        <v>525</v>
      </c>
      <c r="C146" s="716">
        <f>'R.FILE GOC'!H89</f>
        <v>25.911999999999999</v>
      </c>
      <c r="D146" s="717">
        <f>'R.FILE GOC'!N89</f>
        <v>26</v>
      </c>
      <c r="E146" s="665"/>
      <c r="F146" s="665"/>
      <c r="G146" s="665"/>
      <c r="H146" s="665"/>
      <c r="I146" s="665"/>
    </row>
    <row r="147" spans="1:9" ht="12.75" hidden="1" customHeight="1">
      <c r="A147" s="741">
        <v>2</v>
      </c>
      <c r="B147" s="742" t="s">
        <v>529</v>
      </c>
      <c r="C147" s="718">
        <f>'R.FILE GOC'!H90</f>
        <v>22.751999999999999</v>
      </c>
      <c r="D147" s="719">
        <f>'R.FILE GOC'!N90</f>
        <v>25</v>
      </c>
      <c r="E147" s="665"/>
      <c r="F147" s="665"/>
      <c r="G147" s="665"/>
      <c r="H147" s="665"/>
      <c r="I147" s="665"/>
    </row>
    <row r="148" spans="1:9" ht="12.75" hidden="1" customHeight="1">
      <c r="A148" s="741">
        <v>3</v>
      </c>
      <c r="B148" s="742" t="s">
        <v>531</v>
      </c>
      <c r="C148" s="718">
        <f>'R.FILE GOC'!H91</f>
        <v>241.24</v>
      </c>
      <c r="D148" s="719">
        <f>'R.FILE GOC'!N91</f>
        <v>245</v>
      </c>
      <c r="E148" s="665"/>
      <c r="F148" s="665"/>
      <c r="G148" s="665"/>
      <c r="H148" s="665"/>
      <c r="I148" s="665"/>
    </row>
    <row r="149" spans="1:9" ht="12.75" hidden="1" customHeight="1">
      <c r="A149" s="741">
        <v>4</v>
      </c>
      <c r="B149" s="323" t="s">
        <v>413</v>
      </c>
      <c r="C149" s="718">
        <f>'R.FILE GOC'!H92</f>
        <v>123.75</v>
      </c>
      <c r="D149" s="719">
        <f>'R.FILE GOC'!N92</f>
        <v>124</v>
      </c>
      <c r="E149" s="665"/>
      <c r="F149" s="665"/>
      <c r="G149" s="665"/>
      <c r="H149" s="665"/>
      <c r="I149" s="665"/>
    </row>
    <row r="150" spans="1:9" ht="12.75" hidden="1" customHeight="1">
      <c r="A150" s="741">
        <v>5</v>
      </c>
      <c r="B150" s="323" t="s">
        <v>414</v>
      </c>
      <c r="C150" s="718">
        <f>'R.FILE GOC'!H93</f>
        <v>2.1250000000000013</v>
      </c>
      <c r="D150" s="719">
        <f>'R.FILE GOC'!N93</f>
        <v>2.2500000000000009</v>
      </c>
      <c r="E150" s="665"/>
      <c r="F150" s="665"/>
      <c r="G150" s="665"/>
      <c r="H150" s="665"/>
      <c r="I150" s="665"/>
    </row>
    <row r="151" spans="1:9" ht="12.75" hidden="1" customHeight="1">
      <c r="A151" s="741">
        <v>6</v>
      </c>
      <c r="B151" s="328" t="s">
        <v>415</v>
      </c>
      <c r="C151" s="718">
        <f>'R.FILE GOC'!H94</f>
        <v>122.50000000000001</v>
      </c>
      <c r="D151" s="719">
        <f>'R.FILE GOC'!N94</f>
        <v>123.75</v>
      </c>
      <c r="E151" s="665"/>
      <c r="F151" s="665"/>
      <c r="G151" s="665"/>
      <c r="H151" s="665"/>
      <c r="I151" s="665"/>
    </row>
    <row r="152" spans="1:9" ht="12.75" hidden="1" customHeight="1">
      <c r="A152" s="741">
        <v>7</v>
      </c>
      <c r="B152" s="328" t="s">
        <v>416</v>
      </c>
      <c r="C152" s="718">
        <f>'R.FILE GOC'!H95</f>
        <v>2.1250000000000013</v>
      </c>
      <c r="D152" s="719">
        <f>'R.FILE GOC'!N95</f>
        <v>2.6250000000000009</v>
      </c>
      <c r="E152" s="665"/>
      <c r="F152" s="665"/>
      <c r="G152" s="665"/>
      <c r="H152" s="665"/>
      <c r="I152" s="665"/>
    </row>
    <row r="153" spans="1:9" ht="12.75" hidden="1" customHeight="1">
      <c r="A153" s="741">
        <v>8</v>
      </c>
      <c r="B153" s="328" t="s">
        <v>417</v>
      </c>
      <c r="C153" s="718">
        <f>'R.FILE GOC'!H96</f>
        <v>122.50000000000001</v>
      </c>
      <c r="D153" s="719">
        <f>'R.FILE GOC'!N96</f>
        <v>123.5</v>
      </c>
      <c r="E153" s="665"/>
      <c r="F153" s="665"/>
      <c r="G153" s="665"/>
      <c r="H153" s="665"/>
      <c r="I153" s="665"/>
    </row>
    <row r="154" spans="1:9" ht="12.75" hidden="1" customHeight="1">
      <c r="A154" s="741">
        <v>9</v>
      </c>
      <c r="B154" s="328" t="s">
        <v>418</v>
      </c>
      <c r="C154" s="718">
        <f>'R.FILE GOC'!H97</f>
        <v>2.1250000000000013</v>
      </c>
      <c r="D154" s="719">
        <f>'R.FILE GOC'!N97</f>
        <v>2.1249999999999991</v>
      </c>
      <c r="E154" s="665"/>
      <c r="F154" s="665"/>
      <c r="G154" s="665"/>
      <c r="H154" s="665"/>
      <c r="I154" s="665"/>
    </row>
    <row r="155" spans="1:9" ht="12.75" hidden="1" customHeight="1">
      <c r="A155" s="3895">
        <v>10</v>
      </c>
      <c r="B155" s="3493" t="s">
        <v>776</v>
      </c>
      <c r="C155" s="718">
        <f>'R.FILE GOC'!H98</f>
        <v>8.2160000000000011</v>
      </c>
      <c r="D155" s="719">
        <f>'R.FILE GOC'!N98</f>
        <v>8.5</v>
      </c>
      <c r="E155" s="665"/>
      <c r="F155" s="665"/>
      <c r="G155" s="665"/>
      <c r="H155" s="665"/>
      <c r="I155" s="665"/>
    </row>
    <row r="156" spans="1:9" ht="12.75" hidden="1" customHeight="1">
      <c r="A156" s="3896"/>
      <c r="B156" s="3897"/>
      <c r="C156" s="718">
        <f>'R.FILE GOC'!H99</f>
        <v>6.4</v>
      </c>
      <c r="D156" s="719">
        <f>'R.FILE GOC'!N99</f>
        <v>6.1</v>
      </c>
      <c r="E156" s="665"/>
      <c r="F156" s="665"/>
      <c r="G156" s="665"/>
      <c r="H156" s="665"/>
      <c r="I156" s="665"/>
    </row>
    <row r="157" spans="1:9" ht="12.75" hidden="1" customHeight="1">
      <c r="A157" s="741">
        <v>12</v>
      </c>
      <c r="B157" s="743" t="s">
        <v>547</v>
      </c>
      <c r="C157" s="718">
        <f>'R.FILE GOC'!H100</f>
        <v>0</v>
      </c>
      <c r="D157" s="719">
        <f>'R.FILE GOC'!N100</f>
        <v>0</v>
      </c>
      <c r="E157" s="665"/>
      <c r="F157" s="665"/>
      <c r="G157" s="665"/>
      <c r="H157" s="665"/>
      <c r="I157" s="665"/>
    </row>
    <row r="158" spans="1:9" ht="12.75" hidden="1" customHeight="1">
      <c r="A158" s="741">
        <v>13</v>
      </c>
      <c r="B158" s="744" t="s">
        <v>549</v>
      </c>
      <c r="C158" s="718">
        <f>'R.FILE GOC'!H101</f>
        <v>0</v>
      </c>
      <c r="D158" s="719">
        <f>'R.FILE GOC'!N101</f>
        <v>0</v>
      </c>
      <c r="E158" s="665"/>
      <c r="F158" s="665"/>
      <c r="G158" s="665"/>
      <c r="H158" s="665"/>
      <c r="I158" s="665"/>
    </row>
    <row r="159" spans="1:9" ht="12.75" hidden="1" customHeight="1">
      <c r="A159" s="741">
        <v>14</v>
      </c>
      <c r="B159" s="745" t="s">
        <v>551</v>
      </c>
      <c r="C159" s="718">
        <f>'R.FILE GOC'!H102</f>
        <v>5.5</v>
      </c>
      <c r="D159" s="719">
        <f>'R.FILE GOC'!N102</f>
        <v>5.6</v>
      </c>
      <c r="E159" s="665"/>
      <c r="F159" s="665"/>
      <c r="G159" s="665"/>
      <c r="H159" s="665"/>
      <c r="I159" s="665"/>
    </row>
    <row r="160" spans="1:9" ht="12.75" hidden="1" customHeight="1">
      <c r="A160" s="741"/>
      <c r="B160" s="746" t="s">
        <v>72</v>
      </c>
      <c r="C160" s="724" t="s">
        <v>156</v>
      </c>
      <c r="D160" s="747" t="s">
        <v>156</v>
      </c>
      <c r="E160" s="665"/>
      <c r="F160" s="665"/>
      <c r="G160" s="665"/>
      <c r="H160" s="665"/>
      <c r="I160" s="665"/>
    </row>
    <row r="161" spans="1:9" ht="12.75" hidden="1" customHeight="1">
      <c r="A161" s="741" t="s">
        <v>7</v>
      </c>
      <c r="B161" s="748" t="s">
        <v>60</v>
      </c>
      <c r="C161" s="726">
        <v>0.33333333333333331</v>
      </c>
      <c r="D161" s="727"/>
      <c r="E161" s="665"/>
      <c r="F161" s="665"/>
      <c r="G161" s="665"/>
      <c r="H161" s="665"/>
      <c r="I161" s="665"/>
    </row>
    <row r="162" spans="1:9" ht="12.75" hidden="1" customHeight="1">
      <c r="A162" s="741">
        <v>1</v>
      </c>
      <c r="B162" s="742" t="s">
        <v>525</v>
      </c>
      <c r="C162" s="718">
        <f>'R.FILE GOC'!H105</f>
        <v>61</v>
      </c>
      <c r="D162" s="719">
        <f>'R.FILE GOC'!N105</f>
        <v>59</v>
      </c>
      <c r="E162" s="665"/>
      <c r="F162" s="665"/>
      <c r="G162" s="665"/>
      <c r="H162" s="665"/>
      <c r="I162" s="665"/>
    </row>
    <row r="163" spans="1:9" ht="12.75" hidden="1" customHeight="1">
      <c r="A163" s="741">
        <v>2</v>
      </c>
      <c r="B163" s="742" t="s">
        <v>529</v>
      </c>
      <c r="C163" s="718">
        <f>'R.FILE GOC'!H106</f>
        <v>60</v>
      </c>
      <c r="D163" s="719">
        <f>'R.FILE GOC'!N106</f>
        <v>55</v>
      </c>
      <c r="E163" s="665"/>
      <c r="F163" s="665"/>
      <c r="G163" s="665"/>
      <c r="H163" s="665"/>
      <c r="I163" s="665"/>
    </row>
    <row r="164" spans="1:9" ht="12.75" hidden="1" customHeight="1">
      <c r="A164" s="741">
        <v>3</v>
      </c>
      <c r="B164" s="323" t="s">
        <v>777</v>
      </c>
      <c r="C164" s="718">
        <f>'R.FILE GOC'!H107</f>
        <v>23</v>
      </c>
      <c r="D164" s="719">
        <f>'R.FILE GOC'!N107</f>
        <v>23</v>
      </c>
      <c r="E164" s="665"/>
      <c r="F164" s="665"/>
      <c r="G164" s="665"/>
      <c r="H164" s="665"/>
      <c r="I164" s="665"/>
    </row>
    <row r="165" spans="1:9" ht="12.75" hidden="1" customHeight="1">
      <c r="A165" s="741">
        <v>4</v>
      </c>
      <c r="B165" s="323" t="s">
        <v>778</v>
      </c>
      <c r="C165" s="718">
        <f>'R.FILE GOC'!H108</f>
        <v>23</v>
      </c>
      <c r="D165" s="719">
        <f>'R.FILE GOC'!N108</f>
        <v>23</v>
      </c>
      <c r="E165" s="665"/>
      <c r="F165" s="665"/>
      <c r="G165" s="665"/>
      <c r="H165" s="665"/>
      <c r="I165" s="665"/>
    </row>
    <row r="166" spans="1:9" ht="12.75" hidden="1" customHeight="1">
      <c r="A166" s="741">
        <v>5</v>
      </c>
      <c r="B166" s="323" t="s">
        <v>779</v>
      </c>
      <c r="C166" s="718">
        <f>'R.FILE GOC'!H109</f>
        <v>22</v>
      </c>
      <c r="D166" s="719">
        <f>'R.FILE GOC'!N109</f>
        <v>22</v>
      </c>
      <c r="E166" s="665"/>
      <c r="F166" s="665"/>
      <c r="G166" s="665"/>
      <c r="H166" s="665"/>
      <c r="I166" s="665"/>
    </row>
    <row r="167" spans="1:9" ht="12.75" hidden="1" customHeight="1">
      <c r="A167" s="741">
        <v>6</v>
      </c>
      <c r="B167" s="323" t="s">
        <v>776</v>
      </c>
      <c r="C167" s="718">
        <f>'R.FILE GOC'!H110</f>
        <v>30</v>
      </c>
      <c r="D167" s="719">
        <f>'R.FILE GOC'!N110</f>
        <v>30</v>
      </c>
      <c r="E167" s="665"/>
      <c r="F167" s="665"/>
      <c r="G167" s="665"/>
      <c r="H167" s="665"/>
      <c r="I167" s="665"/>
    </row>
    <row r="168" spans="1:9" ht="12.75" hidden="1" customHeight="1">
      <c r="A168" s="741">
        <v>8</v>
      </c>
      <c r="B168" s="743" t="s">
        <v>547</v>
      </c>
      <c r="C168" s="718">
        <f>'R.FILE GOC'!H111</f>
        <v>0</v>
      </c>
      <c r="D168" s="719">
        <f>'R.FILE GOC'!N111</f>
        <v>0</v>
      </c>
      <c r="E168" s="665"/>
      <c r="F168" s="665"/>
      <c r="G168" s="665"/>
      <c r="H168" s="665"/>
      <c r="I168" s="665"/>
    </row>
    <row r="169" spans="1:9" ht="12.75" hidden="1" customHeight="1">
      <c r="A169" s="741">
        <v>9</v>
      </c>
      <c r="B169" s="744" t="s">
        <v>549</v>
      </c>
      <c r="C169" s="718">
        <f>'R.FILE GOC'!H112</f>
        <v>0</v>
      </c>
      <c r="D169" s="719">
        <f>'R.FILE GOC'!N112</f>
        <v>0</v>
      </c>
      <c r="E169" s="665"/>
      <c r="F169" s="665"/>
      <c r="G169" s="665"/>
      <c r="H169" s="665"/>
      <c r="I169" s="665"/>
    </row>
    <row r="170" spans="1:9" ht="12.75" hidden="1" customHeight="1">
      <c r="A170" s="741">
        <v>10</v>
      </c>
      <c r="B170" s="745" t="s">
        <v>551</v>
      </c>
      <c r="C170" s="718">
        <f>'R.FILE GOC'!H113</f>
        <v>65</v>
      </c>
      <c r="D170" s="719">
        <f>'R.FILE GOC'!N113</f>
        <v>64</v>
      </c>
      <c r="E170" s="665"/>
      <c r="F170" s="665"/>
      <c r="G170" s="665"/>
      <c r="H170" s="665"/>
      <c r="I170" s="665"/>
    </row>
    <row r="171" spans="1:9" ht="12.75" hidden="1" customHeight="1">
      <c r="A171" s="741">
        <v>11</v>
      </c>
      <c r="B171" s="742" t="s">
        <v>780</v>
      </c>
      <c r="C171" s="718" t="e">
        <f>'R.FILE GOC'!#REF!</f>
        <v>#REF!</v>
      </c>
      <c r="D171" s="719" t="e">
        <f>'R.FILE GOC'!#REF!</f>
        <v>#REF!</v>
      </c>
      <c r="E171" s="665"/>
      <c r="F171" s="665"/>
      <c r="G171" s="665"/>
      <c r="H171" s="665"/>
      <c r="I171" s="665"/>
    </row>
    <row r="172" spans="1:9" ht="12.75" hidden="1" customHeight="1">
      <c r="A172" s="741">
        <v>12</v>
      </c>
      <c r="B172" s="323" t="s">
        <v>563</v>
      </c>
      <c r="C172" s="795">
        <f>'5.ML'!G33</f>
        <v>104</v>
      </c>
      <c r="D172" s="796">
        <f>'5.ML'!K33</f>
        <v>106</v>
      </c>
      <c r="E172" s="665"/>
      <c r="F172" s="665"/>
      <c r="G172" s="665"/>
      <c r="H172" s="665"/>
      <c r="I172" s="665"/>
    </row>
    <row r="173" spans="1:9" ht="12.75" hidden="1" customHeight="1">
      <c r="A173" s="732"/>
      <c r="B173" s="733"/>
      <c r="C173" s="734" t="s">
        <v>155</v>
      </c>
      <c r="D173" s="725" t="s">
        <v>155</v>
      </c>
      <c r="E173" s="665"/>
      <c r="F173" s="665"/>
      <c r="G173" s="665"/>
      <c r="H173" s="665"/>
      <c r="I173" s="665"/>
    </row>
    <row r="174" spans="1:9" ht="12.75" hidden="1" customHeight="1">
      <c r="A174" s="732"/>
      <c r="B174" s="733"/>
      <c r="C174" s="726">
        <v>0.33333333333333331</v>
      </c>
      <c r="D174" s="727"/>
      <c r="E174" s="665"/>
      <c r="F174" s="665"/>
      <c r="G174" s="665"/>
      <c r="H174" s="665"/>
      <c r="I174" s="665"/>
    </row>
    <row r="175" spans="1:9" ht="12.75" hidden="1" customHeight="1">
      <c r="A175" s="741">
        <v>1</v>
      </c>
      <c r="B175" s="742" t="s">
        <v>525</v>
      </c>
      <c r="C175" s="737">
        <f>'R.FILE GOC'!K89</f>
        <v>0</v>
      </c>
      <c r="D175" s="738">
        <f>'R.FILE GOC'!Q89</f>
        <v>0</v>
      </c>
      <c r="E175" s="665"/>
      <c r="F175" s="665"/>
      <c r="G175" s="665"/>
      <c r="H175" s="665"/>
      <c r="I175" s="665"/>
    </row>
    <row r="176" spans="1:9" ht="12.75" hidden="1" customHeight="1">
      <c r="A176" s="741">
        <v>2</v>
      </c>
      <c r="B176" s="742" t="s">
        <v>529</v>
      </c>
      <c r="C176" s="737">
        <f>'R.FILE GOC'!K90</f>
        <v>3.6687360000000018</v>
      </c>
      <c r="D176" s="738">
        <f>'R.FILE GOC'!Q90</f>
        <v>0</v>
      </c>
      <c r="E176" s="665"/>
      <c r="F176" s="665"/>
      <c r="G176" s="665"/>
      <c r="H176" s="665"/>
      <c r="I176" s="665"/>
    </row>
    <row r="177" spans="1:9" ht="12.75" hidden="1" customHeight="1">
      <c r="A177" s="741">
        <v>3</v>
      </c>
      <c r="B177" s="742" t="s">
        <v>531</v>
      </c>
      <c r="C177" s="737">
        <f>'R.FILE GOC'!K91</f>
        <v>14.296319999999985</v>
      </c>
      <c r="D177" s="738">
        <f>'R.FILE GOC'!Q91</f>
        <v>8.16</v>
      </c>
      <c r="E177" s="665"/>
      <c r="F177" s="665"/>
      <c r="G177" s="665"/>
      <c r="H177" s="665"/>
      <c r="I177" s="665"/>
    </row>
    <row r="178" spans="1:9" ht="12.75" hidden="1" customHeight="1">
      <c r="A178" s="741">
        <v>4</v>
      </c>
      <c r="B178" s="323" t="s">
        <v>413</v>
      </c>
      <c r="C178" s="737">
        <f>'R.FILE GOC'!K92</f>
        <v>10.8</v>
      </c>
      <c r="D178" s="738">
        <f>'R.FILE GOC'!Q92</f>
        <v>10.368</v>
      </c>
      <c r="E178" s="665"/>
      <c r="F178" s="665"/>
      <c r="G178" s="665"/>
      <c r="H178" s="665"/>
      <c r="I178" s="665"/>
    </row>
    <row r="179" spans="1:9" ht="12.75" hidden="1" customHeight="1">
      <c r="A179" s="741">
        <v>5</v>
      </c>
      <c r="B179" s="323" t="s">
        <v>414</v>
      </c>
      <c r="C179" s="737" t="str">
        <f>'R.FILE GOC'!K93</f>
        <v>N/A</v>
      </c>
      <c r="D179" s="738" t="str">
        <f>'R.FILE GOC'!Q93</f>
        <v>N/A</v>
      </c>
      <c r="E179" s="665"/>
      <c r="F179" s="665"/>
      <c r="G179" s="665"/>
      <c r="H179" s="665"/>
      <c r="I179" s="665"/>
    </row>
    <row r="180" spans="1:9" ht="12.75" hidden="1" customHeight="1">
      <c r="A180" s="741">
        <v>6</v>
      </c>
      <c r="B180" s="328" t="s">
        <v>415</v>
      </c>
      <c r="C180" s="737">
        <f>'R.FILE GOC'!K94</f>
        <v>12.959999999999974</v>
      </c>
      <c r="D180" s="738">
        <f>'R.FILE GOC'!Q94</f>
        <v>10.8</v>
      </c>
      <c r="E180" s="665"/>
      <c r="F180" s="665"/>
      <c r="G180" s="665"/>
      <c r="H180" s="665"/>
      <c r="I180" s="665"/>
    </row>
    <row r="181" spans="1:9" ht="12.75" hidden="1" customHeight="1">
      <c r="A181" s="741">
        <v>7</v>
      </c>
      <c r="B181" s="328" t="s">
        <v>416</v>
      </c>
      <c r="C181" s="737" t="str">
        <f>'R.FILE GOC'!K95</f>
        <v>N/A</v>
      </c>
      <c r="D181" s="738" t="str">
        <f>'R.FILE GOC'!Q95</f>
        <v>N/A</v>
      </c>
      <c r="E181" s="665"/>
      <c r="F181" s="665"/>
      <c r="G181" s="665"/>
      <c r="H181" s="665"/>
      <c r="I181" s="665"/>
    </row>
    <row r="182" spans="1:9" ht="12.75" hidden="1" customHeight="1">
      <c r="A182" s="741">
        <v>8</v>
      </c>
      <c r="B182" s="328" t="s">
        <v>417</v>
      </c>
      <c r="C182" s="737">
        <f>'R.FILE GOC'!K96</f>
        <v>12.959999999999974</v>
      </c>
      <c r="D182" s="738">
        <f>'R.FILE GOC'!Q96</f>
        <v>11.231999999999999</v>
      </c>
      <c r="E182" s="665"/>
      <c r="F182" s="665"/>
      <c r="G182" s="665"/>
      <c r="H182" s="665"/>
      <c r="I182" s="665"/>
    </row>
    <row r="183" spans="1:9" ht="12.75" hidden="1" customHeight="1">
      <c r="A183" s="741">
        <v>9</v>
      </c>
      <c r="B183" s="328" t="s">
        <v>418</v>
      </c>
      <c r="C183" s="737" t="str">
        <f>'R.FILE GOC'!K97</f>
        <v>N/A</v>
      </c>
      <c r="D183" s="738" t="str">
        <f>'R.FILE GOC'!Q97</f>
        <v>N/A</v>
      </c>
      <c r="E183" s="665"/>
      <c r="F183" s="665"/>
      <c r="G183" s="665"/>
      <c r="H183" s="665"/>
      <c r="I183" s="665"/>
    </row>
    <row r="184" spans="1:9" ht="12.75" hidden="1" customHeight="1">
      <c r="A184" s="3895">
        <v>10</v>
      </c>
      <c r="B184" s="3493" t="s">
        <v>776</v>
      </c>
      <c r="C184" s="737">
        <f>'R.FILE GOC'!K98</f>
        <v>3.0827519999999979</v>
      </c>
      <c r="D184" s="738">
        <f>'R.FILE GOC'!Q98</f>
        <v>2.5920000000000001</v>
      </c>
      <c r="E184" s="665"/>
      <c r="F184" s="665"/>
      <c r="G184" s="665"/>
      <c r="H184" s="665"/>
      <c r="I184" s="665"/>
    </row>
    <row r="185" spans="1:9" ht="12.75" hidden="1" customHeight="1">
      <c r="A185" s="3896"/>
      <c r="B185" s="3897"/>
      <c r="C185" s="737">
        <f>'R.FILE GOC'!K99</f>
        <v>0</v>
      </c>
      <c r="D185" s="738">
        <f>'R.FILE GOC'!Q99</f>
        <v>0</v>
      </c>
      <c r="E185" s="665"/>
      <c r="F185" s="665"/>
      <c r="G185" s="665"/>
      <c r="H185" s="665"/>
      <c r="I185" s="665"/>
    </row>
    <row r="186" spans="1:9" ht="12.75" customHeight="1" thickBot="1">
      <c r="C186" s="739"/>
      <c r="D186" s="740"/>
      <c r="E186" s="665"/>
      <c r="F186" s="665"/>
      <c r="G186" s="665"/>
      <c r="H186" s="665"/>
      <c r="I186" s="665"/>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5.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C1" sqref="C1:I187"/>
    </sheetView>
  </sheetViews>
  <sheetFormatPr defaultColWidth="4.125" defaultRowHeight="12.75" customHeight="1"/>
  <cols>
    <col min="1" max="1" width="2.75" style="665" customWidth="1"/>
    <col min="2" max="2" width="16.875" style="665" customWidth="1"/>
    <col min="3" max="4" width="9.5" style="667" customWidth="1"/>
    <col min="5" max="8" width="7" style="667" customWidth="1"/>
    <col min="9" max="9" width="7.625" style="665" customWidth="1"/>
    <col min="10" max="34" width="4.125" style="665"/>
    <col min="35" max="35" width="4.125" style="665" customWidth="1"/>
    <col min="36" max="16384" width="4.125" style="665"/>
  </cols>
  <sheetData>
    <row r="1" spans="1:9" ht="18" customHeight="1">
      <c r="B1" s="666"/>
      <c r="C1" s="2023" t="str">
        <f>MENU!$AC$9</f>
        <v>Thứ 5,</v>
      </c>
    </row>
    <row r="2" spans="1:9" ht="12.75" customHeight="1">
      <c r="B2" s="668" t="s">
        <v>736</v>
      </c>
      <c r="C2" s="669" t="str">
        <f>'1.xi den'!G3</f>
        <v>2024/08/01</v>
      </c>
    </row>
    <row r="3" spans="1:9" s="672" customFormat="1" ht="12.75" customHeight="1">
      <c r="A3" s="3888" t="s">
        <v>7</v>
      </c>
      <c r="B3" s="3890" t="s">
        <v>753</v>
      </c>
      <c r="C3" s="670"/>
      <c r="D3" s="671" t="s">
        <v>154</v>
      </c>
      <c r="E3" s="671"/>
      <c r="F3" s="671"/>
      <c r="G3" s="671"/>
      <c r="H3" s="671"/>
      <c r="I3" s="671"/>
    </row>
    <row r="4" spans="1:9" s="672" customFormat="1" ht="12.75" customHeight="1" thickBot="1">
      <c r="A4" s="3889"/>
      <c r="B4" s="3891"/>
      <c r="C4" s="673"/>
      <c r="D4" s="674" t="s">
        <v>383</v>
      </c>
      <c r="E4" s="674" t="s">
        <v>384</v>
      </c>
      <c r="F4" s="674" t="s">
        <v>385</v>
      </c>
      <c r="G4" s="674" t="s">
        <v>386</v>
      </c>
      <c r="H4" s="674" t="s">
        <v>387</v>
      </c>
      <c r="I4" s="674" t="s">
        <v>388</v>
      </c>
    </row>
    <row r="5" spans="1:9" s="678" customFormat="1" ht="12.75" customHeight="1">
      <c r="A5" s="320">
        <v>1</v>
      </c>
      <c r="B5" s="136" t="s">
        <v>754</v>
      </c>
      <c r="C5" s="391" t="s">
        <v>755</v>
      </c>
      <c r="D5" s="675">
        <f>'2.RL E tt'!F7</f>
        <v>0</v>
      </c>
      <c r="E5" s="676">
        <f>'2.RL E tt'!J7</f>
        <v>0</v>
      </c>
      <c r="F5" s="676">
        <f>'2.RL E tt'!N7</f>
        <v>0</v>
      </c>
      <c r="G5" s="676">
        <f>'2.RL E tt'!F29</f>
        <v>0</v>
      </c>
      <c r="H5" s="676">
        <f>'2.RL E tt'!J29</f>
        <v>0</v>
      </c>
      <c r="I5" s="677">
        <f>'2.RL E tt'!N29</f>
        <v>0</v>
      </c>
    </row>
    <row r="6" spans="1:9" s="678" customFormat="1" ht="12.75" hidden="1" customHeight="1">
      <c r="A6" s="320"/>
      <c r="B6" s="136" t="s">
        <v>754</v>
      </c>
      <c r="C6" s="391" t="s">
        <v>755</v>
      </c>
      <c r="D6" s="679">
        <f>'2.RL E tt'!F8</f>
        <v>0</v>
      </c>
      <c r="E6" s="680">
        <f>'2.RL E tt'!J8</f>
        <v>0</v>
      </c>
      <c r="F6" s="680">
        <f>'2.RL E tt'!N8</f>
        <v>0</v>
      </c>
      <c r="G6" s="680">
        <f>'2.RL E tt'!F30</f>
        <v>0</v>
      </c>
      <c r="H6" s="680">
        <f>'2.RL E tt'!J30</f>
        <v>0</v>
      </c>
      <c r="I6" s="681">
        <f>'2.RL E tt'!N30</f>
        <v>0</v>
      </c>
    </row>
    <row r="7" spans="1:9" s="678" customFormat="1" ht="12.75" hidden="1" customHeight="1">
      <c r="A7" s="320">
        <v>2</v>
      </c>
      <c r="B7" s="3892" t="s">
        <v>756</v>
      </c>
      <c r="C7" s="682" t="s">
        <v>605</v>
      </c>
      <c r="D7" s="679">
        <f>'2.RL E tt'!F9</f>
        <v>0</v>
      </c>
      <c r="E7" s="680">
        <f>'2.RL E tt'!J9</f>
        <v>0</v>
      </c>
      <c r="F7" s="680">
        <f>'2.RL E tt'!N9</f>
        <v>0</v>
      </c>
      <c r="G7" s="680">
        <f>'2.RL E tt'!F31</f>
        <v>0</v>
      </c>
      <c r="H7" s="680">
        <f>'2.RL E tt'!J31</f>
        <v>0</v>
      </c>
      <c r="I7" s="681">
        <f>'2.RL E tt'!N31</f>
        <v>0</v>
      </c>
    </row>
    <row r="8" spans="1:9" s="678" customFormat="1" ht="12.75" hidden="1" customHeight="1">
      <c r="A8" s="320">
        <v>3</v>
      </c>
      <c r="B8" s="3893"/>
      <c r="C8" s="682" t="s">
        <v>609</v>
      </c>
      <c r="D8" s="679">
        <f>'2.RL E tt'!F10</f>
        <v>0</v>
      </c>
      <c r="E8" s="680">
        <f>'2.RL E tt'!J10</f>
        <v>0</v>
      </c>
      <c r="F8" s="680">
        <f>'2.RL E tt'!N10</f>
        <v>0</v>
      </c>
      <c r="G8" s="680">
        <f>'2.RL E tt'!F32</f>
        <v>0</v>
      </c>
      <c r="H8" s="680">
        <f>'2.RL E tt'!J32</f>
        <v>0</v>
      </c>
      <c r="I8" s="681">
        <f>'2.RL E tt'!N32</f>
        <v>0</v>
      </c>
    </row>
    <row r="9" spans="1:9" s="678" customFormat="1" ht="12.75" hidden="1" customHeight="1">
      <c r="A9" s="320">
        <v>4</v>
      </c>
      <c r="B9" s="3894"/>
      <c r="C9" s="682" t="s">
        <v>611</v>
      </c>
      <c r="D9" s="679">
        <f>'2.RL E tt'!F11</f>
        <v>0</v>
      </c>
      <c r="E9" s="680">
        <f>'2.RL E tt'!J11</f>
        <v>0</v>
      </c>
      <c r="F9" s="680">
        <f>'2.RL E tt'!N11</f>
        <v>0</v>
      </c>
      <c r="G9" s="680">
        <f>'2.RL E tt'!F33</f>
        <v>0</v>
      </c>
      <c r="H9" s="680">
        <f>'2.RL E tt'!J33</f>
        <v>0</v>
      </c>
      <c r="I9" s="681">
        <f>'2.RL E tt'!N33</f>
        <v>0</v>
      </c>
    </row>
    <row r="10" spans="1:9" s="678" customFormat="1" ht="12.75" hidden="1" customHeight="1">
      <c r="A10" s="320">
        <v>5</v>
      </c>
      <c r="B10" s="3892" t="s">
        <v>757</v>
      </c>
      <c r="C10" s="682" t="s">
        <v>605</v>
      </c>
      <c r="D10" s="679">
        <f>'2.RL E tt'!F12</f>
        <v>0</v>
      </c>
      <c r="E10" s="680">
        <f>'2.RL E tt'!J12</f>
        <v>0</v>
      </c>
      <c r="F10" s="680">
        <f>'2.RL E tt'!N12</f>
        <v>0</v>
      </c>
      <c r="G10" s="680">
        <f>'2.RL E tt'!F34</f>
        <v>0</v>
      </c>
      <c r="H10" s="680">
        <f>'2.RL E tt'!J34</f>
        <v>0</v>
      </c>
      <c r="I10" s="681">
        <f>'2.RL E tt'!N34</f>
        <v>0</v>
      </c>
    </row>
    <row r="11" spans="1:9" s="678" customFormat="1" ht="12.75" hidden="1" customHeight="1">
      <c r="A11" s="320">
        <v>6</v>
      </c>
      <c r="B11" s="3893"/>
      <c r="C11" s="682" t="s">
        <v>609</v>
      </c>
      <c r="D11" s="679">
        <f>'2.RL E tt'!F13</f>
        <v>0</v>
      </c>
      <c r="E11" s="680">
        <f>'2.RL E tt'!J13</f>
        <v>0</v>
      </c>
      <c r="F11" s="680">
        <f>'2.RL E tt'!N13</f>
        <v>0</v>
      </c>
      <c r="G11" s="680">
        <f>'2.RL E tt'!F35</f>
        <v>0</v>
      </c>
      <c r="H11" s="680">
        <f>'2.RL E tt'!J35</f>
        <v>0</v>
      </c>
      <c r="I11" s="681">
        <f>'2.RL E tt'!N35</f>
        <v>0</v>
      </c>
    </row>
    <row r="12" spans="1:9" s="678" customFormat="1" ht="12.75" hidden="1" customHeight="1">
      <c r="A12" s="320">
        <v>7</v>
      </c>
      <c r="B12" s="3894"/>
      <c r="C12" s="682" t="s">
        <v>611</v>
      </c>
      <c r="D12" s="679">
        <f>'2.RL E tt'!F14</f>
        <v>0</v>
      </c>
      <c r="E12" s="680">
        <f>'2.RL E tt'!J14</f>
        <v>0</v>
      </c>
      <c r="F12" s="680">
        <f>'2.RL E tt'!N14</f>
        <v>0</v>
      </c>
      <c r="G12" s="680">
        <f>'2.RL E tt'!F36</f>
        <v>0</v>
      </c>
      <c r="H12" s="680">
        <f>'2.RL E tt'!J36</f>
        <v>0</v>
      </c>
      <c r="I12" s="681">
        <f>'2.RL E tt'!N36</f>
        <v>0</v>
      </c>
    </row>
    <row r="13" spans="1:9" s="683" customFormat="1" ht="12.75" hidden="1" customHeight="1">
      <c r="A13" s="320">
        <v>8</v>
      </c>
      <c r="B13" s="3892" t="s">
        <v>758</v>
      </c>
      <c r="C13" s="391" t="s">
        <v>759</v>
      </c>
      <c r="D13" s="679">
        <f>'2.RL E tt'!F15</f>
        <v>0</v>
      </c>
      <c r="E13" s="680">
        <f>'2.RL E tt'!J15</f>
        <v>0</v>
      </c>
      <c r="F13" s="680">
        <f>'2.RL E tt'!N15</f>
        <v>0</v>
      </c>
      <c r="G13" s="680">
        <f>'2.RL E tt'!F37</f>
        <v>0</v>
      </c>
      <c r="H13" s="680">
        <f>'2.RL E tt'!J37</f>
        <v>0</v>
      </c>
      <c r="I13" s="681">
        <f>'2.RL E tt'!N37</f>
        <v>0</v>
      </c>
    </row>
    <row r="14" spans="1:9" s="683" customFormat="1" ht="12.75" hidden="1" customHeight="1">
      <c r="A14" s="320">
        <v>9</v>
      </c>
      <c r="B14" s="3894"/>
      <c r="C14" s="391" t="s">
        <v>617</v>
      </c>
      <c r="D14" s="679">
        <f>'2.RL E tt'!F16</f>
        <v>0</v>
      </c>
      <c r="E14" s="680">
        <f>'2.RL E tt'!J16</f>
        <v>0</v>
      </c>
      <c r="F14" s="680">
        <f>'2.RL E tt'!N16</f>
        <v>0</v>
      </c>
      <c r="G14" s="680">
        <f>'2.RL E tt'!F38</f>
        <v>0</v>
      </c>
      <c r="H14" s="680">
        <f>'2.RL E tt'!J38</f>
        <v>0</v>
      </c>
      <c r="I14" s="681">
        <f>'2.RL E tt'!N38</f>
        <v>0</v>
      </c>
    </row>
    <row r="15" spans="1:9" s="683" customFormat="1" ht="12.75" hidden="1" customHeight="1">
      <c r="A15" s="3887" t="s">
        <v>2</v>
      </c>
      <c r="B15" s="3887"/>
      <c r="C15" s="670"/>
      <c r="D15" s="684" t="s">
        <v>156</v>
      </c>
      <c r="E15" s="671"/>
      <c r="F15" s="671"/>
      <c r="G15" s="671"/>
      <c r="H15" s="671"/>
      <c r="I15" s="685"/>
    </row>
    <row r="16" spans="1:9" s="683" customFormat="1" ht="12.75" hidden="1" customHeight="1">
      <c r="A16" s="148" t="s">
        <v>53</v>
      </c>
      <c r="B16" s="686" t="s">
        <v>760</v>
      </c>
      <c r="C16" s="670"/>
      <c r="D16" s="687" t="s">
        <v>383</v>
      </c>
      <c r="E16" s="674" t="s">
        <v>384</v>
      </c>
      <c r="F16" s="674" t="s">
        <v>385</v>
      </c>
      <c r="G16" s="674" t="s">
        <v>386</v>
      </c>
      <c r="H16" s="674" t="s">
        <v>387</v>
      </c>
      <c r="I16" s="688" t="s">
        <v>388</v>
      </c>
    </row>
    <row r="17" spans="1:9" s="683" customFormat="1" ht="12.75" hidden="1" customHeight="1">
      <c r="A17" s="320">
        <v>1</v>
      </c>
      <c r="B17" s="689" t="s">
        <v>443</v>
      </c>
      <c r="C17" s="690"/>
      <c r="D17" s="679">
        <f>'2.RL E tt'!F19</f>
        <v>0</v>
      </c>
      <c r="E17" s="680">
        <f>'2.RL E tt'!J19</f>
        <v>0</v>
      </c>
      <c r="F17" s="680">
        <f>'2.RL E tt'!N19</f>
        <v>0</v>
      </c>
      <c r="G17" s="680">
        <f>'2.RL E tt'!F41</f>
        <v>0</v>
      </c>
      <c r="H17" s="680">
        <f>'2.RL E tt'!J41</f>
        <v>0</v>
      </c>
      <c r="I17" s="685">
        <f>'2.RL E tt'!N41</f>
        <v>0</v>
      </c>
    </row>
    <row r="18" spans="1:9" s="683" customFormat="1" ht="12.75" hidden="1" customHeight="1">
      <c r="A18" s="320">
        <v>2</v>
      </c>
      <c r="B18" s="689" t="s">
        <v>445</v>
      </c>
      <c r="C18" s="690"/>
      <c r="D18" s="679">
        <f>'2.RL E tt'!F20</f>
        <v>0</v>
      </c>
      <c r="E18" s="680">
        <f>'2.RL E tt'!J20</f>
        <v>0</v>
      </c>
      <c r="F18" s="680">
        <f>'2.RL E tt'!N20</f>
        <v>0</v>
      </c>
      <c r="G18" s="680">
        <f>'2.RL E tt'!F42</f>
        <v>0</v>
      </c>
      <c r="H18" s="680">
        <f>'2.RL E tt'!J42</f>
        <v>0</v>
      </c>
      <c r="I18" s="685">
        <f>'2.RL E tt'!N42</f>
        <v>0</v>
      </c>
    </row>
    <row r="19" spans="1:9" s="683" customFormat="1" ht="12.75" hidden="1" customHeight="1">
      <c r="A19" s="320">
        <v>3</v>
      </c>
      <c r="B19" s="689" t="s">
        <v>438</v>
      </c>
      <c r="C19" s="690"/>
      <c r="D19" s="679">
        <f>'2.RL E tt'!F21</f>
        <v>0</v>
      </c>
      <c r="E19" s="680">
        <f>'2.RL E tt'!J21</f>
        <v>0</v>
      </c>
      <c r="F19" s="680">
        <f>'2.RL E tt'!N21</f>
        <v>0</v>
      </c>
      <c r="G19" s="680">
        <f>'2.RL E tt'!F43</f>
        <v>0</v>
      </c>
      <c r="H19" s="680">
        <f>'2.RL E tt'!J43</f>
        <v>0</v>
      </c>
      <c r="I19" s="685">
        <f>'2.RL E tt'!N43</f>
        <v>0</v>
      </c>
    </row>
    <row r="20" spans="1:9" s="683" customFormat="1" ht="12.75" hidden="1" customHeight="1">
      <c r="A20" s="320">
        <v>4</v>
      </c>
      <c r="B20" s="689" t="s">
        <v>761</v>
      </c>
      <c r="C20" s="690"/>
      <c r="D20" s="679">
        <f>'2.RL E tt'!F22</f>
        <v>0</v>
      </c>
      <c r="E20" s="680">
        <f>'2.RL E tt'!J22</f>
        <v>0</v>
      </c>
      <c r="F20" s="680">
        <f>'2.RL E tt'!N22</f>
        <v>0</v>
      </c>
      <c r="G20" s="680">
        <f>'2.RL E tt'!F44</f>
        <v>0</v>
      </c>
      <c r="H20" s="680">
        <f>'2.RL E tt'!J44</f>
        <v>0</v>
      </c>
      <c r="I20" s="685">
        <f>'2.RL E tt'!N44</f>
        <v>0</v>
      </c>
    </row>
    <row r="21" spans="1:9" ht="12.75" hidden="1" customHeight="1">
      <c r="A21" s="3888" t="s">
        <v>7</v>
      </c>
      <c r="B21" s="3890" t="s">
        <v>753</v>
      </c>
      <c r="C21" s="670"/>
      <c r="D21" s="684" t="s">
        <v>155</v>
      </c>
      <c r="E21" s="671"/>
      <c r="F21" s="671"/>
      <c r="G21" s="671"/>
      <c r="H21" s="671"/>
      <c r="I21" s="691"/>
    </row>
    <row r="22" spans="1:9" ht="12.75" hidden="1" customHeight="1">
      <c r="A22" s="3889"/>
      <c r="B22" s="3891"/>
      <c r="C22" s="673"/>
      <c r="D22" s="687" t="s">
        <v>383</v>
      </c>
      <c r="E22" s="674" t="s">
        <v>384</v>
      </c>
      <c r="F22" s="674" t="s">
        <v>385</v>
      </c>
      <c r="G22" s="674" t="s">
        <v>386</v>
      </c>
      <c r="H22" s="674" t="s">
        <v>387</v>
      </c>
      <c r="I22" s="688" t="s">
        <v>388</v>
      </c>
    </row>
    <row r="23" spans="1:9" ht="12.75" hidden="1" customHeight="1">
      <c r="A23" s="320">
        <v>1</v>
      </c>
      <c r="B23" s="136" t="s">
        <v>754</v>
      </c>
      <c r="C23" s="391"/>
      <c r="D23" s="692">
        <f>'2.RL E tt'!H7</f>
        <v>0</v>
      </c>
      <c r="E23" s="693">
        <f>'2.RL E tt'!L7</f>
        <v>0</v>
      </c>
      <c r="F23" s="693">
        <f>'2.RL E tt'!P7</f>
        <v>0</v>
      </c>
      <c r="G23" s="693">
        <f>'2.RL E tt'!H29</f>
        <v>0</v>
      </c>
      <c r="H23" s="693">
        <f>'2.RL E tt'!L29</f>
        <v>0</v>
      </c>
      <c r="I23" s="699">
        <f>'2.RL E tt'!P29</f>
        <v>0</v>
      </c>
    </row>
    <row r="24" spans="1:9" ht="12.75" hidden="1" customHeight="1">
      <c r="A24" s="320"/>
      <c r="B24" s="136" t="s">
        <v>754</v>
      </c>
      <c r="C24" s="391"/>
      <c r="D24" s="692">
        <f>'2.RL E tt'!H8</f>
        <v>292.1875</v>
      </c>
      <c r="E24" s="693">
        <f>'2.RL E tt'!L8</f>
        <v>292.1875</v>
      </c>
      <c r="F24" s="693">
        <f>'2.RL E tt'!P8</f>
        <v>292.1875</v>
      </c>
      <c r="G24" s="693">
        <f>'2.RL E tt'!H30</f>
        <v>292.1875</v>
      </c>
      <c r="H24" s="693">
        <f>'2.RL E tt'!L30</f>
        <v>292.1875</v>
      </c>
      <c r="I24" s="699">
        <f>'2.RL E tt'!P30</f>
        <v>292.1875</v>
      </c>
    </row>
    <row r="25" spans="1:9" ht="12.75" hidden="1" customHeight="1">
      <c r="A25" s="320">
        <v>2</v>
      </c>
      <c r="B25" s="3892" t="s">
        <v>756</v>
      </c>
      <c r="C25" s="391"/>
      <c r="D25" s="692">
        <f>'2.RL E tt'!H9</f>
        <v>0</v>
      </c>
      <c r="E25" s="693">
        <f>'2.RL E tt'!L9</f>
        <v>0</v>
      </c>
      <c r="F25" s="693">
        <f>'2.RL E tt'!P9</f>
        <v>0</v>
      </c>
      <c r="G25" s="693">
        <f>'2.RL E tt'!H31</f>
        <v>0</v>
      </c>
      <c r="H25" s="693">
        <f>'2.RL E tt'!L31</f>
        <v>0</v>
      </c>
      <c r="I25" s="699">
        <f>'2.RL E tt'!P31</f>
        <v>0</v>
      </c>
    </row>
    <row r="26" spans="1:9" ht="12.75" hidden="1" customHeight="1">
      <c r="A26" s="320">
        <v>3</v>
      </c>
      <c r="B26" s="3893"/>
      <c r="C26" s="391"/>
      <c r="D26" s="692">
        <f>'2.RL E tt'!H10</f>
        <v>0</v>
      </c>
      <c r="E26" s="693">
        <f>'2.RL E tt'!L10</f>
        <v>0</v>
      </c>
      <c r="F26" s="693">
        <f>'2.RL E tt'!P10</f>
        <v>0</v>
      </c>
      <c r="G26" s="693">
        <f>'2.RL E tt'!H32</f>
        <v>0</v>
      </c>
      <c r="H26" s="693">
        <f>'2.RL E tt'!L32</f>
        <v>0</v>
      </c>
      <c r="I26" s="699">
        <f>'2.RL E tt'!P32</f>
        <v>0</v>
      </c>
    </row>
    <row r="27" spans="1:9" ht="12.75" hidden="1" customHeight="1">
      <c r="A27" s="320">
        <v>4</v>
      </c>
      <c r="B27" s="3894"/>
      <c r="C27" s="391"/>
      <c r="D27" s="692">
        <f>'2.RL E tt'!H11</f>
        <v>0</v>
      </c>
      <c r="E27" s="693">
        <f>'2.RL E tt'!L11</f>
        <v>0</v>
      </c>
      <c r="F27" s="693">
        <f>'2.RL E tt'!P11</f>
        <v>0</v>
      </c>
      <c r="G27" s="693">
        <f>'2.RL E tt'!H33</f>
        <v>0</v>
      </c>
      <c r="H27" s="693">
        <f>'2.RL E tt'!L33</f>
        <v>0</v>
      </c>
      <c r="I27" s="699">
        <f>'2.RL E tt'!P33</f>
        <v>0</v>
      </c>
    </row>
    <row r="28" spans="1:9" ht="12.75" hidden="1" customHeight="1">
      <c r="A28" s="320">
        <v>5</v>
      </c>
      <c r="B28" s="3892" t="s">
        <v>757</v>
      </c>
      <c r="C28" s="391"/>
      <c r="D28" s="692">
        <f>'2.RL E tt'!H12</f>
        <v>0</v>
      </c>
      <c r="E28" s="693">
        <f>'2.RL E tt'!L12</f>
        <v>0</v>
      </c>
      <c r="F28" s="693">
        <f>'2.RL E tt'!P12</f>
        <v>0</v>
      </c>
      <c r="G28" s="693">
        <f>'2.RL E tt'!H34</f>
        <v>0</v>
      </c>
      <c r="H28" s="693">
        <f>'2.RL E tt'!L34</f>
        <v>0</v>
      </c>
      <c r="I28" s="699">
        <f>'2.RL E tt'!P34</f>
        <v>0</v>
      </c>
    </row>
    <row r="29" spans="1:9" ht="12.75" hidden="1" customHeight="1">
      <c r="A29" s="320">
        <v>6</v>
      </c>
      <c r="B29" s="3893"/>
      <c r="C29" s="391"/>
      <c r="D29" s="692">
        <f>'2.RL E tt'!H13</f>
        <v>0</v>
      </c>
      <c r="E29" s="693">
        <f>'2.RL E tt'!L13</f>
        <v>0</v>
      </c>
      <c r="F29" s="693">
        <f>'2.RL E tt'!P13</f>
        <v>0</v>
      </c>
      <c r="G29" s="693">
        <f>'2.RL E tt'!H35</f>
        <v>0</v>
      </c>
      <c r="H29" s="693">
        <f>'2.RL E tt'!L35</f>
        <v>0</v>
      </c>
      <c r="I29" s="699">
        <f>'2.RL E tt'!P35</f>
        <v>0</v>
      </c>
    </row>
    <row r="30" spans="1:9" ht="12.75" hidden="1" customHeight="1">
      <c r="A30" s="320">
        <v>7</v>
      </c>
      <c r="B30" s="3894"/>
      <c r="C30" s="391"/>
      <c r="D30" s="692">
        <f>'2.RL E tt'!H14</f>
        <v>0</v>
      </c>
      <c r="E30" s="693">
        <f>'2.RL E tt'!L14</f>
        <v>0</v>
      </c>
      <c r="F30" s="693">
        <f>'2.RL E tt'!P14</f>
        <v>0</v>
      </c>
      <c r="G30" s="693">
        <f>'2.RL E tt'!H36</f>
        <v>0</v>
      </c>
      <c r="H30" s="693">
        <f>'2.RL E tt'!L36</f>
        <v>0</v>
      </c>
      <c r="I30" s="699">
        <f>'2.RL E tt'!P36</f>
        <v>0</v>
      </c>
    </row>
    <row r="31" spans="1:9" ht="12.75" hidden="1" customHeight="1">
      <c r="A31" s="320">
        <v>8</v>
      </c>
      <c r="B31" s="3892" t="s">
        <v>758</v>
      </c>
      <c r="C31" s="391"/>
      <c r="D31" s="692">
        <f>'2.RL E tt'!H15</f>
        <v>0</v>
      </c>
      <c r="E31" s="693">
        <f>'2.RL E tt'!L15</f>
        <v>0</v>
      </c>
      <c r="F31" s="693">
        <f>'2.RL E tt'!P15</f>
        <v>0</v>
      </c>
      <c r="G31" s="693">
        <f>'2.RL E tt'!H37</f>
        <v>0</v>
      </c>
      <c r="H31" s="693">
        <f>'2.RL E tt'!L37</f>
        <v>0</v>
      </c>
      <c r="I31" s="699">
        <f>'2.RL E tt'!P37</f>
        <v>0</v>
      </c>
    </row>
    <row r="32" spans="1:9" ht="12.75" hidden="1" customHeight="1">
      <c r="A32" s="320">
        <v>9</v>
      </c>
      <c r="B32" s="3894"/>
      <c r="C32" s="391"/>
      <c r="D32" s="692">
        <f>'2.RL E tt'!H16</f>
        <v>0</v>
      </c>
      <c r="E32" s="693">
        <f>'2.RL E tt'!L16</f>
        <v>0</v>
      </c>
      <c r="F32" s="693">
        <f>'2.RL E tt'!P16</f>
        <v>0</v>
      </c>
      <c r="G32" s="693">
        <f>'2.RL E tt'!H38</f>
        <v>0</v>
      </c>
      <c r="H32" s="693">
        <f>'2.RL E tt'!L38</f>
        <v>0</v>
      </c>
      <c r="I32" s="699">
        <f>'2.RL E tt'!P38</f>
        <v>0</v>
      </c>
    </row>
    <row r="33" spans="1:9" ht="12.75" hidden="1" customHeight="1">
      <c r="D33" s="695"/>
      <c r="I33" s="691"/>
    </row>
    <row r="34" spans="1:9" ht="12.75" hidden="1" customHeight="1">
      <c r="B34" s="668" t="s">
        <v>906</v>
      </c>
      <c r="C34" s="696"/>
      <c r="D34" s="695"/>
      <c r="I34" s="691"/>
    </row>
    <row r="35" spans="1:9" ht="12.75" hidden="1" customHeight="1">
      <c r="A35" s="3888" t="s">
        <v>7</v>
      </c>
      <c r="B35" s="3890" t="s">
        <v>753</v>
      </c>
      <c r="C35" s="670"/>
      <c r="D35" s="684" t="s">
        <v>154</v>
      </c>
      <c r="E35" s="671"/>
      <c r="F35" s="671"/>
      <c r="G35" s="671"/>
      <c r="H35" s="671"/>
      <c r="I35" s="691"/>
    </row>
    <row r="36" spans="1:9" ht="12.75" hidden="1" customHeight="1">
      <c r="A36" s="3889"/>
      <c r="B36" s="3891"/>
      <c r="C36" s="673"/>
      <c r="D36" s="687" t="s">
        <v>383</v>
      </c>
      <c r="E36" s="674" t="s">
        <v>384</v>
      </c>
      <c r="F36" s="674" t="s">
        <v>385</v>
      </c>
      <c r="G36" s="674" t="s">
        <v>386</v>
      </c>
      <c r="H36" s="674" t="s">
        <v>387</v>
      </c>
      <c r="I36" s="688" t="s">
        <v>388</v>
      </c>
    </row>
    <row r="37" spans="1:9" ht="12.75" hidden="1" customHeight="1">
      <c r="A37" s="320">
        <v>1</v>
      </c>
      <c r="B37" s="697" t="s">
        <v>447</v>
      </c>
      <c r="C37" s="391"/>
      <c r="D37" s="679">
        <f>'3.RL G tt'!E7</f>
        <v>41</v>
      </c>
      <c r="E37" s="680">
        <f>'3.RL G tt'!I7</f>
        <v>40</v>
      </c>
      <c r="F37" s="680">
        <f>'3.RL G tt'!M7</f>
        <v>38</v>
      </c>
      <c r="G37" s="680">
        <f>'3.RL G tt'!E24</f>
        <v>40</v>
      </c>
      <c r="H37" s="680">
        <f>'3.RL G tt'!I24</f>
        <v>54</v>
      </c>
      <c r="I37" s="691">
        <f>'3.RL G tt'!M24</f>
        <v>38</v>
      </c>
    </row>
    <row r="38" spans="1:9" ht="12.75" hidden="1" customHeight="1">
      <c r="A38" s="320">
        <v>2</v>
      </c>
      <c r="B38" s="697" t="s">
        <v>450</v>
      </c>
      <c r="C38" s="391"/>
      <c r="D38" s="679">
        <f>'3.RL G tt'!E8</f>
        <v>10.584999999999999</v>
      </c>
      <c r="E38" s="680">
        <f>'3.RL G tt'!I8</f>
        <v>11.315000000000001</v>
      </c>
      <c r="F38" s="680">
        <f>'3.RL G tt'!M8</f>
        <v>9.8550000000000004</v>
      </c>
      <c r="G38" s="680">
        <f>'3.RL G tt'!E25</f>
        <v>10.584999999999999</v>
      </c>
      <c r="H38" s="680">
        <f>'3.RL G tt'!I25</f>
        <v>9.49</v>
      </c>
      <c r="I38" s="691">
        <f>'3.RL G tt'!M25</f>
        <v>8.76</v>
      </c>
    </row>
    <row r="39" spans="1:9" ht="12.75" hidden="1" customHeight="1">
      <c r="A39" s="320">
        <v>3</v>
      </c>
      <c r="B39" s="3892" t="s">
        <v>762</v>
      </c>
      <c r="C39" s="682" t="s">
        <v>605</v>
      </c>
      <c r="D39" s="679">
        <f>'3.RL G tt'!E9</f>
        <v>42.5</v>
      </c>
      <c r="E39" s="680">
        <f>'3.RL G tt'!I9</f>
        <v>50</v>
      </c>
      <c r="F39" s="680">
        <f>'3.RL G tt'!M9</f>
        <v>43</v>
      </c>
      <c r="G39" s="680">
        <f>'3.RL G tt'!E26</f>
        <v>48</v>
      </c>
      <c r="H39" s="680">
        <f>'3.RL G tt'!I26</f>
        <v>47</v>
      </c>
      <c r="I39" s="691">
        <f>'3.RL G tt'!M26</f>
        <v>44</v>
      </c>
    </row>
    <row r="40" spans="1:9" ht="12.75" hidden="1" customHeight="1">
      <c r="A40" s="320">
        <v>4</v>
      </c>
      <c r="B40" s="3893"/>
      <c r="C40" s="682" t="s">
        <v>609</v>
      </c>
      <c r="D40" s="679">
        <f>'3.RL G tt'!E10</f>
        <v>7.4561403508771926</v>
      </c>
      <c r="E40" s="680">
        <f>'3.RL G tt'!I10</f>
        <v>8.3333333333333339</v>
      </c>
      <c r="F40" s="680">
        <f>'3.RL G tt'!M10</f>
        <v>8.9583333333333339</v>
      </c>
      <c r="G40" s="680">
        <f>'3.RL G tt'!E27</f>
        <v>10.212765957446807</v>
      </c>
      <c r="H40" s="680">
        <f>'3.RL G tt'!I27</f>
        <v>13.428571428571429</v>
      </c>
      <c r="I40" s="691">
        <f>'3.RL G tt'!M27</f>
        <v>11</v>
      </c>
    </row>
    <row r="41" spans="1:9" ht="12.75" hidden="1" customHeight="1">
      <c r="A41" s="320">
        <v>5</v>
      </c>
      <c r="B41" s="3894"/>
      <c r="C41" s="682" t="s">
        <v>611</v>
      </c>
      <c r="D41" s="679">
        <f>'3.RL G tt'!E11</f>
        <v>0.11</v>
      </c>
      <c r="E41" s="680">
        <f>'3.RL G tt'!I11</f>
        <v>0.12</v>
      </c>
      <c r="F41" s="680">
        <f>'3.RL G tt'!M11</f>
        <v>0.14000000000000001</v>
      </c>
      <c r="G41" s="680">
        <f>'3.RL G tt'!E28</f>
        <v>0.14000000000000001</v>
      </c>
      <c r="H41" s="680">
        <f>'3.RL G tt'!I28</f>
        <v>0.2</v>
      </c>
      <c r="I41" s="691">
        <f>'3.RL G tt'!M28</f>
        <v>0.18</v>
      </c>
    </row>
    <row r="42" spans="1:9" ht="12.75" hidden="1" customHeight="1">
      <c r="A42" s="320">
        <v>6</v>
      </c>
      <c r="B42" s="3892" t="s">
        <v>763</v>
      </c>
      <c r="C42" s="391"/>
      <c r="D42" s="679">
        <f>'3.RL G tt'!E12</f>
        <v>1</v>
      </c>
      <c r="E42" s="680">
        <f>'3.RL G tt'!I12</f>
        <v>0.9</v>
      </c>
      <c r="F42" s="680">
        <f>'3.RL G tt'!M12</f>
        <v>0.95</v>
      </c>
      <c r="G42" s="680">
        <f>'3.RL G tt'!E29</f>
        <v>0.95</v>
      </c>
      <c r="H42" s="680">
        <f>'3.RL G tt'!I29</f>
        <v>0.95</v>
      </c>
      <c r="I42" s="691">
        <f>'3.RL G tt'!M29</f>
        <v>0.95</v>
      </c>
    </row>
    <row r="43" spans="1:9" ht="12.75" hidden="1" customHeight="1">
      <c r="A43" s="320">
        <v>7</v>
      </c>
      <c r="B43" s="3894"/>
      <c r="C43" s="391"/>
      <c r="D43" s="679">
        <f>'3.RL G tt'!E13</f>
        <v>10</v>
      </c>
      <c r="E43" s="680">
        <f>'3.RL G tt'!I13</f>
        <v>10</v>
      </c>
      <c r="F43" s="680">
        <f>'3.RL G tt'!M13</f>
        <v>9.5</v>
      </c>
      <c r="G43" s="680">
        <f>'3.RL G tt'!E30</f>
        <v>10</v>
      </c>
      <c r="H43" s="680">
        <f>'3.RL G tt'!I30</f>
        <v>10</v>
      </c>
      <c r="I43" s="691">
        <f>'3.RL G tt'!M30</f>
        <v>10</v>
      </c>
    </row>
    <row r="44" spans="1:9" ht="12.75" hidden="1" customHeight="1">
      <c r="A44" s="3887" t="s">
        <v>2</v>
      </c>
      <c r="B44" s="3887"/>
      <c r="C44" s="670"/>
      <c r="D44" s="684" t="s">
        <v>156</v>
      </c>
      <c r="E44" s="671"/>
      <c r="F44" s="671"/>
      <c r="G44" s="671"/>
      <c r="H44" s="671"/>
      <c r="I44" s="691"/>
    </row>
    <row r="45" spans="1:9" ht="12.75" hidden="1" customHeight="1">
      <c r="A45" s="148" t="s">
        <v>53</v>
      </c>
      <c r="B45" s="686" t="s">
        <v>760</v>
      </c>
      <c r="C45" s="670"/>
      <c r="D45" s="687" t="s">
        <v>383</v>
      </c>
      <c r="E45" s="674" t="s">
        <v>384</v>
      </c>
      <c r="F45" s="674" t="s">
        <v>385</v>
      </c>
      <c r="G45" s="674" t="s">
        <v>386</v>
      </c>
      <c r="H45" s="674" t="s">
        <v>387</v>
      </c>
      <c r="I45" s="688" t="s">
        <v>388</v>
      </c>
    </row>
    <row r="46" spans="1:9" ht="12.75" hidden="1" customHeight="1">
      <c r="A46" s="320">
        <v>1</v>
      </c>
      <c r="B46" s="322" t="s">
        <v>452</v>
      </c>
      <c r="C46" s="698"/>
      <c r="D46" s="1206">
        <f>'3.RL G tt'!G16</f>
        <v>62</v>
      </c>
      <c r="E46" s="1207">
        <f>'3.RL G tt'!K16</f>
        <v>60</v>
      </c>
      <c r="F46" s="1207">
        <f>'3.RL G tt'!O16</f>
        <v>59</v>
      </c>
      <c r="G46" s="1207">
        <f>'3.RL G tt'!G33</f>
        <v>60</v>
      </c>
      <c r="H46" s="1207">
        <f>'3.RL G tt'!K33</f>
        <v>59</v>
      </c>
      <c r="I46" s="1208">
        <f>'3.RL G tt'!O33</f>
        <v>59</v>
      </c>
    </row>
    <row r="47" spans="1:9" ht="12.75" hidden="1" customHeight="1">
      <c r="A47" s="320">
        <v>2</v>
      </c>
      <c r="B47" s="322" t="s">
        <v>764</v>
      </c>
      <c r="C47" s="698"/>
      <c r="D47" s="1206">
        <f>'3.RL G tt'!G17</f>
        <v>66</v>
      </c>
      <c r="E47" s="1207">
        <f>'3.RL G tt'!K17</f>
        <v>66</v>
      </c>
      <c r="F47" s="1207">
        <f>'3.RL G tt'!O17</f>
        <v>66</v>
      </c>
      <c r="G47" s="1207">
        <f>'3.RL G tt'!G34</f>
        <v>66</v>
      </c>
      <c r="H47" s="1207">
        <f>'3.RL G tt'!K34</f>
        <v>67</v>
      </c>
      <c r="I47" s="1208">
        <f>'3.RL G tt'!O34</f>
        <v>60</v>
      </c>
    </row>
    <row r="48" spans="1:9" ht="12.75" hidden="1" customHeight="1">
      <c r="A48" s="320">
        <v>3</v>
      </c>
      <c r="B48" s="322" t="s">
        <v>730</v>
      </c>
      <c r="C48" s="698"/>
      <c r="D48" s="1206">
        <f>'3.RL G tt'!G18</f>
        <v>84</v>
      </c>
      <c r="E48" s="1207">
        <f>'3.RL G tt'!K18</f>
        <v>83</v>
      </c>
      <c r="F48" s="1207">
        <f>'3.RL G tt'!O18</f>
        <v>82</v>
      </c>
      <c r="G48" s="1207">
        <f>'3.RL G tt'!G35</f>
        <v>81</v>
      </c>
      <c r="H48" s="1207">
        <f>'3.RL G tt'!K35</f>
        <v>84</v>
      </c>
      <c r="I48" s="1208">
        <f>'3.RL G tt'!O35</f>
        <v>84</v>
      </c>
    </row>
    <row r="49" spans="1:9" ht="12.75" hidden="1" customHeight="1">
      <c r="A49" s="3888" t="s">
        <v>7</v>
      </c>
      <c r="B49" s="3890" t="s">
        <v>753</v>
      </c>
      <c r="C49" s="670"/>
      <c r="D49" s="684" t="s">
        <v>155</v>
      </c>
      <c r="E49" s="671"/>
      <c r="F49" s="671"/>
      <c r="G49" s="671"/>
      <c r="H49" s="671"/>
      <c r="I49" s="691"/>
    </row>
    <row r="50" spans="1:9" ht="12.75" hidden="1" customHeight="1">
      <c r="A50" s="3889"/>
      <c r="B50" s="3891"/>
      <c r="C50" s="673"/>
      <c r="D50" s="687" t="s">
        <v>383</v>
      </c>
      <c r="E50" s="674" t="s">
        <v>384</v>
      </c>
      <c r="F50" s="674" t="s">
        <v>385</v>
      </c>
      <c r="G50" s="674" t="s">
        <v>386</v>
      </c>
      <c r="H50" s="674" t="s">
        <v>387</v>
      </c>
      <c r="I50" s="688" t="s">
        <v>388</v>
      </c>
    </row>
    <row r="51" spans="1:9" ht="12.75" hidden="1" customHeight="1">
      <c r="A51" s="320">
        <v>1</v>
      </c>
      <c r="B51" s="697" t="s">
        <v>447</v>
      </c>
      <c r="C51" s="391"/>
      <c r="D51" s="692">
        <f>'3.RL G tt'!G7</f>
        <v>0</v>
      </c>
      <c r="E51" s="693">
        <f>'3.RL G tt'!K7</f>
        <v>0</v>
      </c>
      <c r="F51" s="693">
        <f>'3.RL G tt'!O7</f>
        <v>4.66</v>
      </c>
      <c r="G51" s="693">
        <f>'3.RL G tt'!G24</f>
        <v>0</v>
      </c>
      <c r="H51" s="693">
        <f>'3.RL G tt'!K24</f>
        <v>0</v>
      </c>
      <c r="I51" s="699">
        <f>'3.RL G tt'!O24</f>
        <v>4.66</v>
      </c>
    </row>
    <row r="52" spans="1:9" ht="12.75" hidden="1" customHeight="1">
      <c r="A52" s="320">
        <v>2</v>
      </c>
      <c r="B52" s="697" t="s">
        <v>450</v>
      </c>
      <c r="C52" s="391"/>
      <c r="D52" s="692">
        <f>'3.RL G tt'!G8</f>
        <v>155.89296875000008</v>
      </c>
      <c r="E52" s="693">
        <f>'3.RL G tt'!K8</f>
        <v>96.466406249999892</v>
      </c>
      <c r="F52" s="693">
        <f>'3.RL G tt'!O8</f>
        <v>215.31953124999995</v>
      </c>
      <c r="G52" s="693">
        <f>'3.RL G tt'!G25</f>
        <v>155.89296875000008</v>
      </c>
      <c r="H52" s="693">
        <f>'3.RL G tt'!K25</f>
        <v>245.03281249999998</v>
      </c>
      <c r="I52" s="699">
        <f>'3.RL G tt'!O25</f>
        <v>304.45937500000002</v>
      </c>
    </row>
    <row r="53" spans="1:9" ht="12.75" hidden="1" customHeight="1">
      <c r="A53" s="320">
        <v>3</v>
      </c>
      <c r="B53" s="3892" t="s">
        <v>762</v>
      </c>
      <c r="C53" s="391"/>
      <c r="D53" s="692">
        <f>'3.RL G tt'!G9</f>
        <v>37.012500000000003</v>
      </c>
      <c r="E53" s="693">
        <f>'3.RL G tt'!K9</f>
        <v>0</v>
      </c>
      <c r="F53" s="693">
        <f>'3.RL G tt'!O9</f>
        <v>34.545000000000002</v>
      </c>
      <c r="G53" s="693">
        <f>'3.RL G tt'!G26</f>
        <v>9.8699999999999992</v>
      </c>
      <c r="H53" s="693">
        <f>'3.RL G tt'!K26</f>
        <v>14.805</v>
      </c>
      <c r="I53" s="699">
        <f>'3.RL G tt'!O26</f>
        <v>29.61</v>
      </c>
    </row>
    <row r="54" spans="1:9" ht="12.75" hidden="1" customHeight="1">
      <c r="A54" s="320">
        <v>4</v>
      </c>
      <c r="B54" s="3893"/>
      <c r="C54" s="391"/>
      <c r="D54" s="692">
        <f>'3.RL G tt'!G10</f>
        <v>0</v>
      </c>
      <c r="E54" s="693">
        <f>'3.RL G tt'!K10</f>
        <v>0</v>
      </c>
      <c r="F54" s="693">
        <f>'3.RL G tt'!O10</f>
        <v>0</v>
      </c>
      <c r="G54" s="693">
        <f>'3.RL G tt'!G27</f>
        <v>0</v>
      </c>
      <c r="H54" s="693">
        <f>'3.RL G tt'!K27</f>
        <v>0</v>
      </c>
      <c r="I54" s="699">
        <f>'3.RL G tt'!O27</f>
        <v>0</v>
      </c>
    </row>
    <row r="55" spans="1:9" ht="12.75" hidden="1" customHeight="1">
      <c r="A55" s="320">
        <v>5</v>
      </c>
      <c r="B55" s="3894"/>
      <c r="C55" s="391"/>
      <c r="D55" s="692">
        <f>'3.RL G tt'!G11</f>
        <v>0</v>
      </c>
      <c r="E55" s="693">
        <f>'3.RL G tt'!K11</f>
        <v>0</v>
      </c>
      <c r="F55" s="693">
        <f>'3.RL G tt'!O11</f>
        <v>0</v>
      </c>
      <c r="G55" s="693">
        <f>'3.RL G tt'!G28</f>
        <v>0</v>
      </c>
      <c r="H55" s="693">
        <f>'3.RL G tt'!K28</f>
        <v>0</v>
      </c>
      <c r="I55" s="699">
        <f>'3.RL G tt'!O28</f>
        <v>0</v>
      </c>
    </row>
    <row r="56" spans="1:9" ht="12.75" hidden="1" customHeight="1">
      <c r="A56" s="320">
        <v>6</v>
      </c>
      <c r="B56" s="3892" t="s">
        <v>763</v>
      </c>
      <c r="C56" s="391"/>
      <c r="D56" s="692">
        <f>'3.RL G tt'!G12</f>
        <v>0</v>
      </c>
      <c r="E56" s="693">
        <f>'3.RL G tt'!K12</f>
        <v>0.12339999999999998</v>
      </c>
      <c r="F56" s="693">
        <f>'3.RL G tt'!O12</f>
        <v>6.1700000000000053E-2</v>
      </c>
      <c r="G56" s="693">
        <f>'3.RL G tt'!G29</f>
        <v>6.1700000000000053E-2</v>
      </c>
      <c r="H56" s="693">
        <f>'3.RL G tt'!K29</f>
        <v>6.1700000000000053E-2</v>
      </c>
      <c r="I56" s="699">
        <f>'3.RL G tt'!O29</f>
        <v>6.1700000000000053E-2</v>
      </c>
    </row>
    <row r="57" spans="1:9" ht="12.75" hidden="1" customHeight="1">
      <c r="A57" s="320">
        <v>7</v>
      </c>
      <c r="B57" s="3894"/>
      <c r="C57" s="391"/>
      <c r="D57" s="692">
        <f>'3.RL G tt'!G13</f>
        <v>0</v>
      </c>
      <c r="E57" s="693">
        <f>'3.RL G tt'!K13</f>
        <v>0</v>
      </c>
      <c r="F57" s="693">
        <f>'3.RL G tt'!O13</f>
        <v>0</v>
      </c>
      <c r="G57" s="693">
        <f>'3.RL G tt'!G30</f>
        <v>0</v>
      </c>
      <c r="H57" s="693">
        <f>'3.RL G tt'!K30</f>
        <v>0</v>
      </c>
      <c r="I57" s="699">
        <f>'3.RL G tt'!O30</f>
        <v>0</v>
      </c>
    </row>
    <row r="58" spans="1:9" ht="12.75" hidden="1" customHeight="1">
      <c r="D58" s="695"/>
      <c r="I58" s="691"/>
    </row>
    <row r="59" spans="1:9" ht="12.75" hidden="1" customHeight="1">
      <c r="B59" s="668" t="s">
        <v>907</v>
      </c>
      <c r="C59" s="696"/>
      <c r="D59" s="695"/>
      <c r="I59" s="691"/>
    </row>
    <row r="60" spans="1:9" ht="12.75" hidden="1" customHeight="1">
      <c r="A60" s="3888" t="s">
        <v>7</v>
      </c>
      <c r="B60" s="3890" t="s">
        <v>753</v>
      </c>
      <c r="C60" s="670"/>
      <c r="D60" s="684" t="s">
        <v>154</v>
      </c>
      <c r="E60" s="671"/>
      <c r="F60" s="671"/>
      <c r="G60" s="671"/>
      <c r="H60" s="671"/>
      <c r="I60" s="691"/>
    </row>
    <row r="61" spans="1:9" ht="12.75" hidden="1" customHeight="1">
      <c r="A61" s="3889"/>
      <c r="B61" s="3891"/>
      <c r="C61" s="673"/>
      <c r="D61" s="687" t="s">
        <v>383</v>
      </c>
      <c r="E61" s="674" t="s">
        <v>384</v>
      </c>
      <c r="F61" s="674" t="s">
        <v>385</v>
      </c>
      <c r="G61" s="674" t="s">
        <v>386</v>
      </c>
      <c r="H61" s="674" t="s">
        <v>387</v>
      </c>
      <c r="I61" s="688" t="s">
        <v>388</v>
      </c>
    </row>
    <row r="62" spans="1:9" ht="12.75" hidden="1" customHeight="1">
      <c r="A62" s="148">
        <v>1</v>
      </c>
      <c r="B62" s="136" t="s">
        <v>905</v>
      </c>
      <c r="C62" s="391"/>
      <c r="D62" s="679">
        <f>'4.RL F tt'!F7</f>
        <v>0</v>
      </c>
      <c r="E62" s="680">
        <f>'4.RL F tt'!J7</f>
        <v>0</v>
      </c>
      <c r="F62" s="680">
        <f>'4.RL F tt'!N7</f>
        <v>0</v>
      </c>
      <c r="G62" s="680">
        <f>'4.RL F tt'!F29</f>
        <v>0</v>
      </c>
      <c r="H62" s="680">
        <f>'4.RL F tt'!J29</f>
        <v>0</v>
      </c>
      <c r="I62" s="691">
        <f>'4.RL F tt'!N29</f>
        <v>0</v>
      </c>
    </row>
    <row r="63" spans="1:9" ht="12.75" hidden="1" customHeight="1">
      <c r="A63" s="148"/>
      <c r="B63" s="136" t="s">
        <v>754</v>
      </c>
      <c r="C63" s="391" t="s">
        <v>755</v>
      </c>
      <c r="D63" s="679">
        <f>'4.RL F tt'!F8</f>
        <v>0</v>
      </c>
      <c r="E63" s="680">
        <f>'4.RL F tt'!J8</f>
        <v>0</v>
      </c>
      <c r="F63" s="680">
        <f>'4.RL F tt'!N8</f>
        <v>0</v>
      </c>
      <c r="G63" s="680">
        <f>'4.RL F tt'!F30</f>
        <v>0</v>
      </c>
      <c r="H63" s="680">
        <f>'4.RL F tt'!J30</f>
        <v>0</v>
      </c>
      <c r="I63" s="691">
        <f>'4.RL F tt'!N30</f>
        <v>0</v>
      </c>
    </row>
    <row r="64" spans="1:9" ht="12.75" hidden="1" customHeight="1">
      <c r="A64" s="320">
        <v>2</v>
      </c>
      <c r="B64" s="3892" t="s">
        <v>756</v>
      </c>
      <c r="C64" s="682" t="s">
        <v>605</v>
      </c>
      <c r="D64" s="679">
        <f>'4.RL F tt'!F9</f>
        <v>0</v>
      </c>
      <c r="E64" s="680">
        <f>'4.RL F tt'!J9</f>
        <v>0</v>
      </c>
      <c r="F64" s="680">
        <f>'4.RL F tt'!N9</f>
        <v>0</v>
      </c>
      <c r="G64" s="680">
        <f>'4.RL F tt'!F31</f>
        <v>0</v>
      </c>
      <c r="H64" s="680">
        <f>'4.RL F tt'!J31</f>
        <v>0</v>
      </c>
      <c r="I64" s="691">
        <f>'4.RL F tt'!N31</f>
        <v>0</v>
      </c>
    </row>
    <row r="65" spans="1:9" ht="12.75" hidden="1" customHeight="1">
      <c r="A65" s="320">
        <v>3</v>
      </c>
      <c r="B65" s="3893"/>
      <c r="C65" s="682" t="s">
        <v>609</v>
      </c>
      <c r="D65" s="679">
        <f>'4.RL F tt'!F10</f>
        <v>0</v>
      </c>
      <c r="E65" s="680">
        <f>'4.RL F tt'!J10</f>
        <v>0</v>
      </c>
      <c r="F65" s="680">
        <f>'4.RL F tt'!N10</f>
        <v>0</v>
      </c>
      <c r="G65" s="680">
        <f>'4.RL F tt'!F32</f>
        <v>0</v>
      </c>
      <c r="H65" s="680">
        <f>'4.RL F tt'!J32</f>
        <v>0</v>
      </c>
      <c r="I65" s="691">
        <f>'4.RL F tt'!N32</f>
        <v>0</v>
      </c>
    </row>
    <row r="66" spans="1:9" ht="12.75" hidden="1" customHeight="1">
      <c r="A66" s="320">
        <v>4</v>
      </c>
      <c r="B66" s="3894"/>
      <c r="C66" s="682" t="s">
        <v>611</v>
      </c>
      <c r="D66" s="679">
        <f>'4.RL F tt'!F11</f>
        <v>0</v>
      </c>
      <c r="E66" s="680">
        <f>'4.RL F tt'!J11</f>
        <v>0</v>
      </c>
      <c r="F66" s="680">
        <f>'4.RL F tt'!N11</f>
        <v>0</v>
      </c>
      <c r="G66" s="680">
        <f>'4.RL F tt'!F33</f>
        <v>0</v>
      </c>
      <c r="H66" s="680">
        <f>'4.RL F tt'!J33</f>
        <v>0</v>
      </c>
      <c r="I66" s="691">
        <f>'4.RL F tt'!N33</f>
        <v>0</v>
      </c>
    </row>
    <row r="67" spans="1:9" ht="12.75" hidden="1" customHeight="1">
      <c r="A67" s="320">
        <v>5</v>
      </c>
      <c r="B67" s="3892" t="s">
        <v>757</v>
      </c>
      <c r="C67" s="682" t="s">
        <v>605</v>
      </c>
      <c r="D67" s="679" t="e">
        <f>'4.RL F tt'!F12</f>
        <v>#REF!</v>
      </c>
      <c r="E67" s="680" t="e">
        <f>'4.RL F tt'!J12</f>
        <v>#REF!</v>
      </c>
      <c r="F67" s="680" t="e">
        <f>'4.RL F tt'!N12</f>
        <v>#REF!</v>
      </c>
      <c r="G67" s="680" t="e">
        <f>'4.RL F tt'!F34</f>
        <v>#REF!</v>
      </c>
      <c r="H67" s="680" t="e">
        <f>'4.RL F tt'!J34</f>
        <v>#REF!</v>
      </c>
      <c r="I67" s="691" t="e">
        <f>'4.RL F tt'!N34</f>
        <v>#REF!</v>
      </c>
    </row>
    <row r="68" spans="1:9" ht="12.75" hidden="1" customHeight="1">
      <c r="A68" s="320">
        <v>6</v>
      </c>
      <c r="B68" s="3893"/>
      <c r="C68" s="682" t="s">
        <v>609</v>
      </c>
      <c r="D68" s="679" t="e">
        <f>'4.RL F tt'!F13</f>
        <v>#REF!</v>
      </c>
      <c r="E68" s="680" t="e">
        <f>'4.RL F tt'!J13</f>
        <v>#REF!</v>
      </c>
      <c r="F68" s="680" t="e">
        <f>'4.RL F tt'!N13</f>
        <v>#REF!</v>
      </c>
      <c r="G68" s="680" t="e">
        <f>'4.RL F tt'!F35</f>
        <v>#REF!</v>
      </c>
      <c r="H68" s="680" t="e">
        <f>'4.RL F tt'!J35</f>
        <v>#REF!</v>
      </c>
      <c r="I68" s="691" t="e">
        <f>'4.RL F tt'!N35</f>
        <v>#REF!</v>
      </c>
    </row>
    <row r="69" spans="1:9" ht="12.75" hidden="1" customHeight="1">
      <c r="A69" s="320">
        <v>7</v>
      </c>
      <c r="B69" s="3894"/>
      <c r="C69" s="682" t="s">
        <v>611</v>
      </c>
      <c r="D69" s="679" t="e">
        <f>'4.RL F tt'!F14</f>
        <v>#REF!</v>
      </c>
      <c r="E69" s="680" t="e">
        <f>'4.RL F tt'!J14</f>
        <v>#REF!</v>
      </c>
      <c r="F69" s="680" t="e">
        <f>'4.RL F tt'!N14</f>
        <v>#REF!</v>
      </c>
      <c r="G69" s="680" t="e">
        <f>'4.RL F tt'!F36</f>
        <v>#REF!</v>
      </c>
      <c r="H69" s="680" t="e">
        <f>'4.RL F tt'!J36</f>
        <v>#REF!</v>
      </c>
      <c r="I69" s="691" t="e">
        <f>'4.RL F tt'!N36</f>
        <v>#REF!</v>
      </c>
    </row>
    <row r="70" spans="1:9" ht="12.75" hidden="1" customHeight="1">
      <c r="A70" s="320">
        <v>8</v>
      </c>
      <c r="B70" s="3892" t="s">
        <v>758</v>
      </c>
      <c r="C70" s="391" t="s">
        <v>759</v>
      </c>
      <c r="D70" s="679">
        <f>'4.RL F tt'!F15</f>
        <v>0</v>
      </c>
      <c r="E70" s="680">
        <f>'4.RL F tt'!J15</f>
        <v>0</v>
      </c>
      <c r="F70" s="680">
        <f>'4.RL F tt'!N15</f>
        <v>0</v>
      </c>
      <c r="G70" s="680">
        <f>'4.RL F tt'!F37</f>
        <v>0</v>
      </c>
      <c r="H70" s="680">
        <f>'4.RL F tt'!J37</f>
        <v>0</v>
      </c>
      <c r="I70" s="691">
        <f>'4.RL F tt'!N37</f>
        <v>0</v>
      </c>
    </row>
    <row r="71" spans="1:9" ht="12.75" hidden="1" customHeight="1">
      <c r="A71" s="320">
        <v>9</v>
      </c>
      <c r="B71" s="3894"/>
      <c r="C71" s="391" t="s">
        <v>617</v>
      </c>
      <c r="D71" s="679">
        <f>'4.RL F tt'!F16</f>
        <v>0</v>
      </c>
      <c r="E71" s="680">
        <f>'4.RL F tt'!J16</f>
        <v>0</v>
      </c>
      <c r="F71" s="680">
        <f>'4.RL F tt'!N16</f>
        <v>0</v>
      </c>
      <c r="G71" s="680">
        <f>'4.RL F tt'!F38</f>
        <v>0</v>
      </c>
      <c r="H71" s="680">
        <f>'4.RL F tt'!J38</f>
        <v>0</v>
      </c>
      <c r="I71" s="691">
        <f>'4.RL F tt'!N38</f>
        <v>0</v>
      </c>
    </row>
    <row r="72" spans="1:9" ht="12.75" hidden="1" customHeight="1">
      <c r="A72" s="3887" t="s">
        <v>2</v>
      </c>
      <c r="B72" s="3887"/>
      <c r="C72" s="670"/>
      <c r="D72" s="684" t="s">
        <v>156</v>
      </c>
      <c r="E72" s="671"/>
      <c r="F72" s="671"/>
      <c r="G72" s="671"/>
      <c r="H72" s="671"/>
      <c r="I72" s="691"/>
    </row>
    <row r="73" spans="1:9" ht="12.75" hidden="1" customHeight="1">
      <c r="A73" s="148" t="s">
        <v>53</v>
      </c>
      <c r="B73" s="686" t="s">
        <v>760</v>
      </c>
      <c r="C73" s="670"/>
      <c r="D73" s="687" t="s">
        <v>383</v>
      </c>
      <c r="E73" s="674" t="s">
        <v>384</v>
      </c>
      <c r="F73" s="674" t="s">
        <v>385</v>
      </c>
      <c r="G73" s="674" t="s">
        <v>386</v>
      </c>
      <c r="H73" s="674" t="s">
        <v>387</v>
      </c>
      <c r="I73" s="688" t="s">
        <v>388</v>
      </c>
    </row>
    <row r="74" spans="1:9" ht="12.75" hidden="1" customHeight="1">
      <c r="A74" s="320">
        <v>1</v>
      </c>
      <c r="B74" s="892" t="s">
        <v>905</v>
      </c>
      <c r="C74" s="690"/>
      <c r="D74" s="1206">
        <f>'4.RL F tt'!H19</f>
        <v>0</v>
      </c>
      <c r="E74" s="1207">
        <f>'4.RL F tt'!L19</f>
        <v>0</v>
      </c>
      <c r="F74" s="1207">
        <f>'4.RL F tt'!P19</f>
        <v>0</v>
      </c>
      <c r="G74" s="1207">
        <f>'4.RL F tt'!H41</f>
        <v>0</v>
      </c>
      <c r="H74" s="1207">
        <f>'4.RL F tt'!L41</f>
        <v>0</v>
      </c>
      <c r="I74" s="1208">
        <f>'4.RL F tt'!P41</f>
        <v>0</v>
      </c>
    </row>
    <row r="75" spans="1:9" ht="12.75" hidden="1" customHeight="1">
      <c r="A75" s="320">
        <v>2</v>
      </c>
      <c r="B75" s="689" t="s">
        <v>445</v>
      </c>
      <c r="C75" s="690"/>
      <c r="D75" s="1206">
        <f>'4.RL F tt'!H20</f>
        <v>0</v>
      </c>
      <c r="E75" s="1207">
        <f>'4.RL F tt'!L20</f>
        <v>0</v>
      </c>
      <c r="F75" s="1207">
        <f>'4.RL F tt'!P20</f>
        <v>0</v>
      </c>
      <c r="G75" s="1207">
        <f>'4.RL F tt'!H42</f>
        <v>0</v>
      </c>
      <c r="H75" s="1207">
        <f>'4.RL F tt'!L42</f>
        <v>0</v>
      </c>
      <c r="I75" s="1208">
        <f>'4.RL F tt'!P42</f>
        <v>0</v>
      </c>
    </row>
    <row r="76" spans="1:9" ht="12.75" hidden="1" customHeight="1">
      <c r="A76" s="320">
        <v>3</v>
      </c>
      <c r="B76" s="689" t="s">
        <v>438</v>
      </c>
      <c r="C76" s="690"/>
      <c r="D76" s="1206">
        <f>'4.RL F tt'!H21</f>
        <v>0</v>
      </c>
      <c r="E76" s="1207">
        <f>'4.RL F tt'!L21</f>
        <v>0</v>
      </c>
      <c r="F76" s="1207">
        <f>'4.RL F tt'!P21</f>
        <v>0</v>
      </c>
      <c r="G76" s="1207">
        <f>'4.RL F tt'!H43</f>
        <v>0</v>
      </c>
      <c r="H76" s="1207">
        <f>'4.RL F tt'!L43</f>
        <v>0</v>
      </c>
      <c r="I76" s="1208">
        <f>'4.RL F tt'!P43</f>
        <v>0</v>
      </c>
    </row>
    <row r="77" spans="1:9" ht="12.75" hidden="1" customHeight="1">
      <c r="A77" s="320">
        <v>4</v>
      </c>
      <c r="B77" s="689" t="s">
        <v>761</v>
      </c>
      <c r="C77" s="690"/>
      <c r="D77" s="679">
        <f>'4.RL F tt'!F22</f>
        <v>0</v>
      </c>
      <c r="E77" s="680">
        <f>'4.RL F tt'!J22</f>
        <v>0</v>
      </c>
      <c r="F77" s="680">
        <f>'4.RL F tt'!N22</f>
        <v>0</v>
      </c>
      <c r="G77" s="680">
        <f>'4.RL F tt'!F44</f>
        <v>0</v>
      </c>
      <c r="H77" s="680">
        <f>'4.RL F tt'!J44</f>
        <v>0</v>
      </c>
      <c r="I77" s="691">
        <f>'4.RL F tt'!N44</f>
        <v>0</v>
      </c>
    </row>
    <row r="78" spans="1:9" ht="12.75" hidden="1" customHeight="1">
      <c r="A78" s="3888" t="s">
        <v>7</v>
      </c>
      <c r="B78" s="3890" t="s">
        <v>753</v>
      </c>
      <c r="C78" s="670"/>
      <c r="D78" s="684" t="s">
        <v>155</v>
      </c>
      <c r="E78" s="671"/>
      <c r="F78" s="671"/>
      <c r="G78" s="671"/>
      <c r="H78" s="671"/>
      <c r="I78" s="691"/>
    </row>
    <row r="79" spans="1:9" ht="12.75" hidden="1" customHeight="1">
      <c r="A79" s="3889"/>
      <c r="B79" s="3891"/>
      <c r="C79" s="673"/>
      <c r="D79" s="687" t="s">
        <v>383</v>
      </c>
      <c r="E79" s="674" t="s">
        <v>384</v>
      </c>
      <c r="F79" s="674" t="s">
        <v>385</v>
      </c>
      <c r="G79" s="674" t="s">
        <v>386</v>
      </c>
      <c r="H79" s="674" t="s">
        <v>387</v>
      </c>
      <c r="I79" s="688" t="s">
        <v>388</v>
      </c>
    </row>
    <row r="80" spans="1:9" ht="12.75" hidden="1" customHeight="1">
      <c r="A80" s="320">
        <v>1</v>
      </c>
      <c r="B80" s="136" t="s">
        <v>905</v>
      </c>
      <c r="C80" s="391"/>
      <c r="D80" s="692">
        <f>'4.RL F tt'!H7</f>
        <v>0</v>
      </c>
      <c r="E80" s="693">
        <f>'4.RL F tt'!L7</f>
        <v>0</v>
      </c>
      <c r="F80" s="693">
        <f>'4.RL F tt'!P7</f>
        <v>0</v>
      </c>
      <c r="G80" s="693">
        <f>'4.RL F tt'!H29</f>
        <v>0</v>
      </c>
      <c r="H80" s="693">
        <f>'4.RL F tt'!L29</f>
        <v>0</v>
      </c>
      <c r="I80" s="699">
        <f>'4.RL F tt'!P29</f>
        <v>0</v>
      </c>
    </row>
    <row r="81" spans="1:9" ht="12.75" hidden="1" customHeight="1">
      <c r="A81" s="320"/>
      <c r="B81" s="136" t="s">
        <v>754</v>
      </c>
      <c r="C81" s="391"/>
      <c r="D81" s="692">
        <f>'4.RL F tt'!H8</f>
        <v>0</v>
      </c>
      <c r="E81" s="693">
        <f>'4.RL F tt'!L8</f>
        <v>0</v>
      </c>
      <c r="F81" s="693">
        <f>'4.RL F tt'!P8</f>
        <v>0</v>
      </c>
      <c r="G81" s="693">
        <f>'4.RL F tt'!H30</f>
        <v>0</v>
      </c>
      <c r="H81" s="693">
        <f>'4.RL F tt'!L30</f>
        <v>0</v>
      </c>
      <c r="I81" s="699">
        <f>'4.RL F tt'!P30</f>
        <v>0</v>
      </c>
    </row>
    <row r="82" spans="1:9" ht="12.75" hidden="1" customHeight="1">
      <c r="A82" s="320">
        <v>2</v>
      </c>
      <c r="B82" s="3892" t="s">
        <v>756</v>
      </c>
      <c r="C82" s="391"/>
      <c r="D82" s="692">
        <f>'4.RL F tt'!H9</f>
        <v>0</v>
      </c>
      <c r="E82" s="693">
        <f>'4.RL F tt'!L9</f>
        <v>0</v>
      </c>
      <c r="F82" s="693">
        <f>'4.RL F tt'!P9</f>
        <v>0</v>
      </c>
      <c r="G82" s="693">
        <f>'4.RL F tt'!H31</f>
        <v>0</v>
      </c>
      <c r="H82" s="693">
        <f>'4.RL F tt'!L31</f>
        <v>0</v>
      </c>
      <c r="I82" s="699">
        <f>'4.RL F tt'!P31</f>
        <v>0</v>
      </c>
    </row>
    <row r="83" spans="1:9" ht="12.75" hidden="1" customHeight="1">
      <c r="A83" s="320">
        <v>3</v>
      </c>
      <c r="B83" s="3893"/>
      <c r="C83" s="391"/>
      <c r="D83" s="692">
        <f>'4.RL F tt'!H10</f>
        <v>0</v>
      </c>
      <c r="E83" s="693">
        <f>'4.RL F tt'!L10</f>
        <v>0</v>
      </c>
      <c r="F83" s="693">
        <f>'4.RL F tt'!P10</f>
        <v>0</v>
      </c>
      <c r="G83" s="693">
        <f>'4.RL F tt'!H32</f>
        <v>0</v>
      </c>
      <c r="H83" s="693">
        <f>'4.RL F tt'!L32</f>
        <v>0</v>
      </c>
      <c r="I83" s="699">
        <f>'4.RL F tt'!P32</f>
        <v>0</v>
      </c>
    </row>
    <row r="84" spans="1:9" ht="12.75" hidden="1" customHeight="1">
      <c r="A84" s="320">
        <v>4</v>
      </c>
      <c r="B84" s="3894"/>
      <c r="C84" s="391"/>
      <c r="D84" s="692">
        <f>'4.RL F tt'!H11</f>
        <v>0</v>
      </c>
      <c r="E84" s="693">
        <f>'4.RL F tt'!L11</f>
        <v>0</v>
      </c>
      <c r="F84" s="693">
        <f>'4.RL F tt'!P11</f>
        <v>0</v>
      </c>
      <c r="G84" s="693">
        <f>'4.RL F tt'!H33</f>
        <v>0</v>
      </c>
      <c r="H84" s="693">
        <f>'4.RL F tt'!L33</f>
        <v>0</v>
      </c>
      <c r="I84" s="699">
        <f>'4.RL F tt'!P33</f>
        <v>0</v>
      </c>
    </row>
    <row r="85" spans="1:9" ht="12.75" hidden="1" customHeight="1">
      <c r="A85" s="320">
        <v>5</v>
      </c>
      <c r="B85" s="3892" t="s">
        <v>757</v>
      </c>
      <c r="C85" s="391"/>
      <c r="D85" s="692" t="e">
        <f>'4.RL F tt'!H12</f>
        <v>#REF!</v>
      </c>
      <c r="E85" s="693" t="e">
        <f>'4.RL F tt'!L12</f>
        <v>#REF!</v>
      </c>
      <c r="F85" s="693" t="e">
        <f>'4.RL F tt'!P12</f>
        <v>#REF!</v>
      </c>
      <c r="G85" s="693" t="e">
        <f>'4.RL F tt'!H34</f>
        <v>#REF!</v>
      </c>
      <c r="H85" s="693" t="e">
        <f>'4.RL F tt'!L34</f>
        <v>#REF!</v>
      </c>
      <c r="I85" s="699" t="e">
        <f>'4.RL F tt'!P34</f>
        <v>#REF!</v>
      </c>
    </row>
    <row r="86" spans="1:9" ht="12.75" hidden="1" customHeight="1">
      <c r="A86" s="320">
        <v>6</v>
      </c>
      <c r="B86" s="3893"/>
      <c r="C86" s="391"/>
      <c r="D86" s="692" t="e">
        <f>'4.RL F tt'!H13</f>
        <v>#REF!</v>
      </c>
      <c r="E86" s="693" t="e">
        <f>'4.RL F tt'!L13</f>
        <v>#REF!</v>
      </c>
      <c r="F86" s="693" t="e">
        <f>'4.RL F tt'!P13</f>
        <v>#REF!</v>
      </c>
      <c r="G86" s="693" t="e">
        <f>'4.RL F tt'!H35</f>
        <v>#REF!</v>
      </c>
      <c r="H86" s="693" t="e">
        <f>'4.RL F tt'!L35</f>
        <v>#REF!</v>
      </c>
      <c r="I86" s="699" t="e">
        <f>'4.RL F tt'!P35</f>
        <v>#REF!</v>
      </c>
    </row>
    <row r="87" spans="1:9" ht="12.75" hidden="1" customHeight="1">
      <c r="A87" s="320">
        <v>7</v>
      </c>
      <c r="B87" s="3894"/>
      <c r="C87" s="391"/>
      <c r="D87" s="692" t="e">
        <f>'4.RL F tt'!H14</f>
        <v>#REF!</v>
      </c>
      <c r="E87" s="693" t="e">
        <f>'4.RL F tt'!L14</f>
        <v>#REF!</v>
      </c>
      <c r="F87" s="693" t="e">
        <f>'4.RL F tt'!P14</f>
        <v>#REF!</v>
      </c>
      <c r="G87" s="693" t="e">
        <f>'4.RL F tt'!H36</f>
        <v>#REF!</v>
      </c>
      <c r="H87" s="693" t="e">
        <f>'4.RL F tt'!L36</f>
        <v>#REF!</v>
      </c>
      <c r="I87" s="699" t="e">
        <f>'4.RL F tt'!P36</f>
        <v>#REF!</v>
      </c>
    </row>
    <row r="88" spans="1:9" ht="12.75" hidden="1" customHeight="1">
      <c r="A88" s="320">
        <v>8</v>
      </c>
      <c r="B88" s="3892" t="s">
        <v>758</v>
      </c>
      <c r="C88" s="391"/>
      <c r="D88" s="692">
        <f>'4.RL F tt'!H15</f>
        <v>0</v>
      </c>
      <c r="E88" s="693">
        <f>'4.RL F tt'!L15</f>
        <v>0</v>
      </c>
      <c r="F88" s="693">
        <f>'4.RL F tt'!P15</f>
        <v>0</v>
      </c>
      <c r="G88" s="693">
        <f>'4.RL F tt'!H37</f>
        <v>0</v>
      </c>
      <c r="H88" s="693">
        <f>'4.RL F tt'!L37</f>
        <v>0</v>
      </c>
      <c r="I88" s="699">
        <f>'4.RL F tt'!P37</f>
        <v>0</v>
      </c>
    </row>
    <row r="89" spans="1:9" ht="12.75" hidden="1" customHeight="1">
      <c r="A89" s="320">
        <v>9</v>
      </c>
      <c r="B89" s="3894"/>
      <c r="C89" s="391"/>
      <c r="D89" s="692">
        <f>'4.RL F tt'!H16</f>
        <v>0</v>
      </c>
      <c r="E89" s="693">
        <f>'4.RL F tt'!L16</f>
        <v>0</v>
      </c>
      <c r="F89" s="693">
        <f>'4.RL F tt'!P16</f>
        <v>0</v>
      </c>
      <c r="G89" s="693">
        <f>'4.RL F tt'!H38</f>
        <v>0</v>
      </c>
      <c r="H89" s="693">
        <f>'4.RL F tt'!L38</f>
        <v>0</v>
      </c>
      <c r="I89" s="699">
        <f>'4.RL F tt'!P38</f>
        <v>0</v>
      </c>
    </row>
    <row r="90" spans="1:9" s="705" customFormat="1" ht="12.75" hidden="1" customHeight="1">
      <c r="A90" s="700"/>
      <c r="B90" s="701"/>
      <c r="C90" s="701"/>
      <c r="D90" s="702"/>
      <c r="E90" s="703"/>
      <c r="F90" s="703"/>
      <c r="G90" s="703"/>
      <c r="H90" s="703"/>
      <c r="I90" s="704"/>
    </row>
    <row r="91" spans="1:9" s="705" customFormat="1" ht="16.5" hidden="1" customHeight="1">
      <c r="A91" s="700"/>
      <c r="B91" s="706" t="s">
        <v>765</v>
      </c>
      <c r="C91" s="707"/>
      <c r="D91" s="708">
        <f>R.HN!C12</f>
        <v>3</v>
      </c>
      <c r="E91" s="709">
        <f>R.HN!D12</f>
        <v>3</v>
      </c>
      <c r="F91" s="709">
        <f>R.HN!E12</f>
        <v>3</v>
      </c>
      <c r="G91" s="709">
        <f>R.HN!F12</f>
        <v>3</v>
      </c>
      <c r="H91" s="709">
        <f>R.HN!G12</f>
        <v>3</v>
      </c>
      <c r="I91" s="710">
        <f>R.HN!H12</f>
        <v>3</v>
      </c>
    </row>
    <row r="92" spans="1:9" s="705" customFormat="1" ht="10.5" hidden="1" customHeight="1">
      <c r="A92" s="700"/>
      <c r="B92" s="706" t="s">
        <v>766</v>
      </c>
      <c r="C92" s="707"/>
      <c r="D92" s="702">
        <f>R.HN!C13</f>
        <v>4</v>
      </c>
      <c r="E92" s="703">
        <f>R.HN!D13</f>
        <v>4</v>
      </c>
      <c r="F92" s="703">
        <f>R.HN!E13</f>
        <v>4</v>
      </c>
      <c r="G92" s="703">
        <f>R.HN!F13</f>
        <v>4</v>
      </c>
      <c r="H92" s="703">
        <f>R.HN!G13</f>
        <v>4</v>
      </c>
      <c r="I92" s="711">
        <f>R.HN!H13</f>
        <v>4</v>
      </c>
    </row>
    <row r="93" spans="1:9" s="705" customFormat="1" ht="11.25" hidden="1" customHeight="1">
      <c r="A93" s="700"/>
      <c r="B93" s="706" t="s">
        <v>767</v>
      </c>
      <c r="C93" s="707"/>
      <c r="D93" s="708">
        <f>R.HN!C35</f>
        <v>0</v>
      </c>
      <c r="E93" s="709">
        <f>R.HN!D35</f>
        <v>0</v>
      </c>
      <c r="F93" s="709">
        <f>R.HN!E35</f>
        <v>0</v>
      </c>
      <c r="G93" s="709">
        <f>R.HN!F35</f>
        <v>0</v>
      </c>
      <c r="H93" s="709">
        <f>R.HN!G35</f>
        <v>0</v>
      </c>
      <c r="I93" s="710">
        <f>R.HN!H35</f>
        <v>0</v>
      </c>
    </row>
    <row r="94" spans="1:9" s="705" customFormat="1" ht="15.75" hidden="1" customHeight="1">
      <c r="A94" s="700"/>
      <c r="B94" s="706" t="s">
        <v>768</v>
      </c>
      <c r="C94" s="707"/>
      <c r="D94" s="702">
        <f>R.HN!C36</f>
        <v>0</v>
      </c>
      <c r="E94" s="703">
        <f>R.HN!D36</f>
        <v>0</v>
      </c>
      <c r="F94" s="703">
        <f>R.HN!E36</f>
        <v>0</v>
      </c>
      <c r="G94" s="703">
        <f>R.HN!F36</f>
        <v>0</v>
      </c>
      <c r="H94" s="703">
        <f>R.HN!G36</f>
        <v>0</v>
      </c>
      <c r="I94" s="711">
        <f>R.HN!H36</f>
        <v>0</v>
      </c>
    </row>
    <row r="95" spans="1:9" s="705" customFormat="1" ht="15.75" hidden="1" customHeight="1">
      <c r="A95" s="700"/>
      <c r="B95" s="749" t="s">
        <v>781</v>
      </c>
      <c r="C95" s="750"/>
      <c r="D95" s="751" t="e">
        <f>'3.RL G tt'!#REF!</f>
        <v>#REF!</v>
      </c>
      <c r="E95" s="752" t="e">
        <f>'3.RL G tt'!#REF!</f>
        <v>#REF!</v>
      </c>
      <c r="F95" s="752" t="e">
        <f>'3.RL G tt'!#REF!</f>
        <v>#REF!</v>
      </c>
      <c r="G95" s="752" t="e">
        <f>'3.RL G tt'!#REF!</f>
        <v>#REF!</v>
      </c>
      <c r="H95" s="752" t="e">
        <f>'3.RL G tt'!#REF!</f>
        <v>#REF!</v>
      </c>
      <c r="I95" s="753" t="e">
        <f>'3.RL G tt'!#REF!</f>
        <v>#REF!</v>
      </c>
    </row>
    <row r="96" spans="1:9" ht="12.75" customHeight="1" thickBot="1">
      <c r="A96" s="680"/>
      <c r="B96" s="391"/>
      <c r="C96" s="391"/>
      <c r="D96" s="712"/>
      <c r="E96" s="713"/>
      <c r="F96" s="713"/>
      <c r="G96" s="713"/>
      <c r="H96" s="713"/>
      <c r="I96" s="714"/>
    </row>
    <row r="97" spans="1:8" ht="12.75" customHeight="1">
      <c r="A97" s="680"/>
      <c r="B97" s="391"/>
      <c r="C97" s="391"/>
      <c r="D97" s="693"/>
      <c r="E97" s="693"/>
      <c r="F97" s="693"/>
      <c r="G97" s="693"/>
      <c r="H97" s="693"/>
    </row>
    <row r="99" spans="1:8" ht="12.75" customHeight="1">
      <c r="B99" s="668" t="s">
        <v>769</v>
      </c>
    </row>
    <row r="100" spans="1:8" ht="12.75" customHeight="1">
      <c r="A100" s="3898" t="s">
        <v>7</v>
      </c>
      <c r="B100" s="3900" t="s">
        <v>75</v>
      </c>
      <c r="C100" s="671" t="s">
        <v>154</v>
      </c>
      <c r="D100" s="671"/>
    </row>
    <row r="101" spans="1:8" ht="12.75" customHeight="1" thickBot="1">
      <c r="A101" s="3899"/>
      <c r="B101" s="3901"/>
      <c r="C101" s="674">
        <v>0.375</v>
      </c>
      <c r="D101" s="674">
        <v>0.54166666666666663</v>
      </c>
    </row>
    <row r="102" spans="1:8" ht="12.75" customHeight="1">
      <c r="A102" s="715">
        <v>1</v>
      </c>
      <c r="B102" s="322" t="s">
        <v>568</v>
      </c>
      <c r="C102" s="716">
        <f>'1.xi den TT'!H7</f>
        <v>20.3</v>
      </c>
      <c r="D102" s="717">
        <f>'1.xi den TT'!L7</f>
        <v>0</v>
      </c>
      <c r="E102" s="665"/>
      <c r="F102" s="665"/>
      <c r="G102" s="665"/>
      <c r="H102" s="665"/>
    </row>
    <row r="103" spans="1:8" ht="12.75" hidden="1" customHeight="1" thickBot="1">
      <c r="A103" s="715">
        <v>2</v>
      </c>
      <c r="B103" s="322" t="s">
        <v>569</v>
      </c>
      <c r="C103" s="716">
        <f>'1.xi den TT'!H8</f>
        <v>55.814</v>
      </c>
      <c r="D103" s="717">
        <f>'1.xi den TT'!L8</f>
        <v>0</v>
      </c>
      <c r="E103" s="665"/>
      <c r="F103" s="665"/>
      <c r="G103" s="665"/>
      <c r="H103" s="665"/>
    </row>
    <row r="104" spans="1:8" ht="12.75" hidden="1" customHeight="1" thickBot="1">
      <c r="A104" s="715">
        <v>3</v>
      </c>
      <c r="B104" s="322" t="s">
        <v>570</v>
      </c>
      <c r="C104" s="716">
        <f>'1.xi den TT'!H9</f>
        <v>56.462999999999994</v>
      </c>
      <c r="D104" s="717">
        <f>'1.xi den TT'!L9</f>
        <v>0</v>
      </c>
      <c r="E104" s="665"/>
      <c r="F104" s="665"/>
      <c r="G104" s="665"/>
      <c r="H104" s="665"/>
    </row>
    <row r="105" spans="1:8" ht="12.75" hidden="1" customHeight="1" thickBot="1">
      <c r="A105" s="715">
        <v>4</v>
      </c>
      <c r="B105" s="322" t="s">
        <v>572</v>
      </c>
      <c r="C105" s="716">
        <f>'1.xi den TT'!H10</f>
        <v>0</v>
      </c>
      <c r="D105" s="717">
        <f>'1.xi den TT'!L10</f>
        <v>0</v>
      </c>
      <c r="E105" s="665"/>
      <c r="F105" s="665"/>
      <c r="G105" s="665"/>
      <c r="H105" s="665"/>
    </row>
    <row r="106" spans="1:8" ht="12.75" hidden="1" customHeight="1" thickBot="1">
      <c r="A106" s="715">
        <v>5</v>
      </c>
      <c r="B106" s="720" t="s">
        <v>574</v>
      </c>
      <c r="C106" s="716">
        <f>'1.xi den TT'!H11</f>
        <v>1.2</v>
      </c>
      <c r="D106" s="717">
        <f>'1.xi den TT'!L11</f>
        <v>0</v>
      </c>
      <c r="E106" s="665"/>
      <c r="F106" s="665"/>
      <c r="G106" s="665"/>
      <c r="H106" s="665"/>
    </row>
    <row r="107" spans="1:8" ht="12.75" hidden="1" customHeight="1" thickBot="1">
      <c r="A107" s="715">
        <v>6</v>
      </c>
      <c r="B107" s="720" t="s">
        <v>576</v>
      </c>
      <c r="C107" s="716">
        <f>'1.xi den TT'!H12</f>
        <v>23.5</v>
      </c>
      <c r="D107" s="717">
        <f>'1.xi den TT'!L12</f>
        <v>0</v>
      </c>
      <c r="E107" s="665"/>
      <c r="F107" s="665"/>
      <c r="G107" s="665"/>
      <c r="H107" s="665"/>
    </row>
    <row r="108" spans="1:8" ht="12.75" hidden="1" customHeight="1" thickBot="1">
      <c r="A108" s="715">
        <v>7</v>
      </c>
      <c r="B108" s="720" t="s">
        <v>578</v>
      </c>
      <c r="C108" s="716">
        <f>'1.xi den TT'!H13</f>
        <v>7.5</v>
      </c>
      <c r="D108" s="717">
        <f>'1.xi den TT'!L13</f>
        <v>0</v>
      </c>
      <c r="E108" s="665"/>
      <c r="F108" s="665"/>
      <c r="G108" s="665"/>
      <c r="H108" s="665"/>
    </row>
    <row r="109" spans="1:8" ht="12.75" hidden="1" customHeight="1" thickBot="1">
      <c r="A109" s="715">
        <v>8</v>
      </c>
      <c r="B109" s="322" t="s">
        <v>580</v>
      </c>
      <c r="C109" s="716">
        <f>'1.xi den TT'!H14</f>
        <v>7.3</v>
      </c>
      <c r="D109" s="717">
        <f>'1.xi den TT'!L14</f>
        <v>0</v>
      </c>
      <c r="E109" s="665"/>
      <c r="F109" s="665"/>
      <c r="G109" s="665"/>
      <c r="H109" s="665"/>
    </row>
    <row r="110" spans="1:8" ht="12.75" hidden="1" customHeight="1" thickBot="1">
      <c r="A110" s="715">
        <v>9</v>
      </c>
      <c r="B110" s="720" t="s">
        <v>770</v>
      </c>
      <c r="C110" s="716">
        <f>'1.xi den TT'!H15</f>
        <v>5.4</v>
      </c>
      <c r="D110" s="717">
        <f>'1.xi den TT'!L15</f>
        <v>0</v>
      </c>
      <c r="E110" s="665"/>
      <c r="F110" s="665"/>
      <c r="G110" s="665"/>
      <c r="H110" s="665"/>
    </row>
    <row r="111" spans="1:8" ht="12.75" hidden="1" customHeight="1" thickBot="1">
      <c r="A111" s="721">
        <v>10</v>
      </c>
      <c r="B111" s="722" t="s">
        <v>771</v>
      </c>
      <c r="C111" s="716">
        <f>'1.xi den TT'!H17</f>
        <v>15.035953785246829</v>
      </c>
      <c r="D111" s="717" t="str">
        <f>'1.xi den TT'!L17</f>
        <v>\</v>
      </c>
      <c r="E111" s="665"/>
      <c r="F111" s="665"/>
      <c r="G111" s="665"/>
      <c r="H111" s="665"/>
    </row>
    <row r="112" spans="1:8" ht="12.75" hidden="1" customHeight="1" thickBot="1">
      <c r="A112" s="721">
        <v>11</v>
      </c>
      <c r="B112" s="722" t="s">
        <v>772</v>
      </c>
      <c r="C112" s="716" t="str">
        <f>'1.xi den TT'!H18</f>
        <v/>
      </c>
      <c r="D112" s="717" t="str">
        <f>'1.xi den TT'!L18</f>
        <v>\</v>
      </c>
      <c r="E112" s="665"/>
      <c r="F112" s="665"/>
      <c r="G112" s="665"/>
      <c r="H112" s="665"/>
    </row>
    <row r="113" spans="1:8" ht="12.75" hidden="1" customHeight="1" thickBot="1">
      <c r="A113" s="721">
        <v>12</v>
      </c>
      <c r="B113" s="722" t="s">
        <v>377</v>
      </c>
      <c r="C113" s="716">
        <f>'1.xi den TT'!H21</f>
        <v>0.43407043407043394</v>
      </c>
      <c r="D113" s="717" t="str">
        <f>'1.xi den TT'!L21</f>
        <v>\</v>
      </c>
      <c r="E113" s="665"/>
      <c r="F113" s="665"/>
      <c r="G113" s="665"/>
      <c r="H113" s="665"/>
    </row>
    <row r="114" spans="1:8" ht="12.75" hidden="1" customHeight="1">
      <c r="A114" s="721">
        <v>13</v>
      </c>
      <c r="B114" s="722" t="s">
        <v>380</v>
      </c>
      <c r="C114" s="716">
        <f>'1.xi den TT'!H22</f>
        <v>0.26837996096291455</v>
      </c>
      <c r="D114" s="717" t="str">
        <f>'1.xi den TT'!L22</f>
        <v>\</v>
      </c>
      <c r="E114" s="665"/>
      <c r="F114" s="665"/>
      <c r="G114" s="665"/>
      <c r="H114" s="665"/>
    </row>
    <row r="115" spans="1:8" ht="12.75" hidden="1" customHeight="1">
      <c r="A115" s="320"/>
      <c r="B115" s="723" t="s">
        <v>108</v>
      </c>
      <c r="C115" s="724" t="s">
        <v>156</v>
      </c>
      <c r="D115" s="725"/>
      <c r="E115" s="665"/>
      <c r="F115" s="665"/>
      <c r="G115" s="665"/>
      <c r="H115" s="665"/>
    </row>
    <row r="116" spans="1:8" ht="12.75" hidden="1" customHeight="1">
      <c r="A116" s="465" t="s">
        <v>7</v>
      </c>
      <c r="B116" s="723" t="s">
        <v>60</v>
      </c>
      <c r="C116" s="726">
        <v>0.375</v>
      </c>
      <c r="D116" s="727">
        <v>0.54166666666666663</v>
      </c>
      <c r="E116" s="665"/>
      <c r="F116" s="665"/>
      <c r="G116" s="665"/>
      <c r="H116" s="665"/>
    </row>
    <row r="117" spans="1:8" ht="12.75" hidden="1" customHeight="1">
      <c r="A117" s="465">
        <v>1</v>
      </c>
      <c r="B117" s="136" t="s">
        <v>471</v>
      </c>
      <c r="C117" s="718">
        <f>'1.xi den TT'!H25</f>
        <v>62</v>
      </c>
      <c r="D117" s="719">
        <f>'1.xi den TT'!L25</f>
        <v>0</v>
      </c>
      <c r="E117" s="665"/>
      <c r="F117" s="665"/>
      <c r="G117" s="665"/>
      <c r="H117" s="665"/>
    </row>
    <row r="118" spans="1:8" ht="12.75" hidden="1" customHeight="1">
      <c r="A118" s="465">
        <v>2</v>
      </c>
      <c r="B118" s="136" t="s">
        <v>475</v>
      </c>
      <c r="C118" s="718">
        <f>'1.xi den TT'!H26</f>
        <v>63</v>
      </c>
      <c r="D118" s="719">
        <f>'1.xi den TT'!L26</f>
        <v>0</v>
      </c>
      <c r="E118" s="665"/>
      <c r="F118" s="665"/>
      <c r="G118" s="665"/>
      <c r="H118" s="665"/>
    </row>
    <row r="119" spans="1:8" ht="12.75" hidden="1" customHeight="1">
      <c r="A119" s="465">
        <v>3</v>
      </c>
      <c r="B119" s="136" t="s">
        <v>477</v>
      </c>
      <c r="C119" s="718">
        <f>'1.xi den TT'!H27</f>
        <v>58</v>
      </c>
      <c r="D119" s="719">
        <f>'1.xi den TT'!L27</f>
        <v>0</v>
      </c>
      <c r="E119" s="665"/>
      <c r="F119" s="665"/>
      <c r="G119" s="665"/>
      <c r="H119" s="665"/>
    </row>
    <row r="120" spans="1:8" ht="12.75" hidden="1" customHeight="1">
      <c r="A120" s="465">
        <v>4</v>
      </c>
      <c r="B120" s="136" t="s">
        <v>508</v>
      </c>
      <c r="C120" s="718">
        <f>'1.xi den TT'!H28</f>
        <v>40</v>
      </c>
      <c r="D120" s="719">
        <f>'1.xi den TT'!L28</f>
        <v>0</v>
      </c>
      <c r="E120" s="665"/>
      <c r="F120" s="665"/>
      <c r="G120" s="665"/>
      <c r="H120" s="665"/>
    </row>
    <row r="121" spans="1:8" ht="12.75" hidden="1" customHeight="1">
      <c r="A121" s="465">
        <v>5</v>
      </c>
      <c r="B121" s="136" t="s">
        <v>773</v>
      </c>
      <c r="C121" s="718">
        <f>'1.xi den TT'!H29</f>
        <v>31</v>
      </c>
      <c r="D121" s="719">
        <f>'1.xi den TT'!L29</f>
        <v>0</v>
      </c>
      <c r="E121" s="665"/>
      <c r="F121" s="665"/>
      <c r="G121" s="665"/>
      <c r="H121" s="665"/>
    </row>
    <row r="122" spans="1:8" ht="12.75" hidden="1" customHeight="1">
      <c r="A122" s="465">
        <v>6</v>
      </c>
      <c r="B122" s="136" t="s">
        <v>516</v>
      </c>
      <c r="C122" s="718">
        <f>'1.xi den TT'!I31</f>
        <v>35</v>
      </c>
      <c r="D122" s="719">
        <f>'1.xi den TT'!M31</f>
        <v>0</v>
      </c>
      <c r="E122" s="665"/>
      <c r="F122" s="665"/>
      <c r="G122" s="665"/>
      <c r="H122" s="665"/>
    </row>
    <row r="123" spans="1:8" ht="12.75" hidden="1" customHeight="1">
      <c r="A123" s="465">
        <v>1</v>
      </c>
      <c r="B123" s="728" t="s">
        <v>774</v>
      </c>
      <c r="C123" s="726">
        <v>0.375</v>
      </c>
      <c r="D123" s="727">
        <v>0.54166666666666663</v>
      </c>
      <c r="E123" s="665"/>
      <c r="F123" s="665"/>
      <c r="G123" s="665"/>
      <c r="H123" s="665"/>
    </row>
    <row r="124" spans="1:8" ht="12.75" hidden="1" customHeight="1">
      <c r="A124" s="465">
        <v>2</v>
      </c>
      <c r="B124" s="729" t="s">
        <v>518</v>
      </c>
      <c r="C124" s="718">
        <f>'1.xi den TT'!H33</f>
        <v>986</v>
      </c>
      <c r="D124" s="719">
        <f>'1.xi den TT'!L33</f>
        <v>0</v>
      </c>
      <c r="E124" s="665"/>
      <c r="F124" s="665"/>
      <c r="G124" s="665"/>
      <c r="H124" s="665"/>
    </row>
    <row r="125" spans="1:8" ht="12.75" hidden="1" customHeight="1">
      <c r="A125" s="730"/>
      <c r="B125" s="731" t="s">
        <v>521</v>
      </c>
      <c r="C125" s="718">
        <f>'1.xi den TT'!H34</f>
        <v>0</v>
      </c>
      <c r="D125" s="719">
        <f>'1.xi den TT'!L34</f>
        <v>0</v>
      </c>
      <c r="E125" s="665"/>
      <c r="F125" s="665"/>
      <c r="G125" s="665"/>
      <c r="H125" s="665"/>
    </row>
    <row r="126" spans="1:8" ht="12.75" hidden="1" customHeight="1">
      <c r="A126" s="732"/>
      <c r="B126" s="733"/>
      <c r="C126" s="734" t="s">
        <v>155</v>
      </c>
      <c r="D126" s="725"/>
      <c r="E126" s="665"/>
      <c r="F126" s="665"/>
      <c r="G126" s="665"/>
      <c r="H126" s="665"/>
    </row>
    <row r="127" spans="1:8" ht="12.75" hidden="1" customHeight="1">
      <c r="A127" s="735"/>
      <c r="B127" s="736"/>
      <c r="C127" s="726">
        <v>0.375</v>
      </c>
      <c r="D127" s="727">
        <v>0.54166666666666663</v>
      </c>
      <c r="E127" s="665"/>
      <c r="F127" s="665"/>
      <c r="G127" s="665"/>
      <c r="H127" s="665"/>
    </row>
    <row r="128" spans="1:8" ht="12.75" hidden="1" customHeight="1">
      <c r="A128" s="715">
        <v>1</v>
      </c>
      <c r="B128" s="322" t="s">
        <v>568</v>
      </c>
      <c r="C128" s="737">
        <f>'1.xi den TT'!J7</f>
        <v>0</v>
      </c>
      <c r="D128" s="738">
        <f>'1.xi den TT'!N7</f>
        <v>0</v>
      </c>
      <c r="E128" s="665"/>
      <c r="F128" s="665"/>
      <c r="G128" s="665"/>
      <c r="H128" s="665"/>
    </row>
    <row r="129" spans="1:8" ht="12.75" hidden="1" customHeight="1">
      <c r="A129" s="715">
        <v>2</v>
      </c>
      <c r="B129" s="322" t="s">
        <v>569</v>
      </c>
      <c r="C129" s="737">
        <f>'1.xi den TT'!J8</f>
        <v>0</v>
      </c>
      <c r="D129" s="738">
        <f>'1.xi den TT'!N8</f>
        <v>0</v>
      </c>
      <c r="E129" s="665"/>
      <c r="F129" s="665"/>
      <c r="G129" s="665"/>
      <c r="H129" s="665"/>
    </row>
    <row r="130" spans="1:8" ht="12.75" hidden="1" customHeight="1">
      <c r="A130" s="715">
        <v>3</v>
      </c>
      <c r="B130" s="322" t="s">
        <v>570</v>
      </c>
      <c r="C130" s="737">
        <f>'1.xi den TT'!J9</f>
        <v>0</v>
      </c>
      <c r="D130" s="738">
        <f>'1.xi den TT'!N9</f>
        <v>0</v>
      </c>
      <c r="E130" s="665"/>
      <c r="F130" s="665"/>
      <c r="G130" s="665"/>
      <c r="H130" s="665"/>
    </row>
    <row r="131" spans="1:8" ht="12.75" hidden="1" customHeight="1">
      <c r="A131" s="715">
        <v>4</v>
      </c>
      <c r="B131" s="322" t="s">
        <v>572</v>
      </c>
      <c r="C131" s="737">
        <f>'1.xi den TT'!J10</f>
        <v>124.63199999999999</v>
      </c>
      <c r="D131" s="738">
        <f>'1.xi den TT'!N10</f>
        <v>124.63199999999999</v>
      </c>
      <c r="E131" s="665"/>
      <c r="F131" s="665"/>
      <c r="G131" s="665"/>
      <c r="H131" s="665"/>
    </row>
    <row r="132" spans="1:8" ht="12.75" hidden="1" customHeight="1">
      <c r="A132" s="715">
        <v>5</v>
      </c>
      <c r="B132" s="720" t="s">
        <v>574</v>
      </c>
      <c r="C132" s="737">
        <f>'1.xi den TT'!J11</f>
        <v>0</v>
      </c>
      <c r="D132" s="738">
        <f>'1.xi den TT'!N11</f>
        <v>0</v>
      </c>
      <c r="E132" s="665"/>
      <c r="F132" s="665"/>
      <c r="G132" s="665"/>
      <c r="H132" s="665"/>
    </row>
    <row r="133" spans="1:8" ht="12.75" hidden="1" customHeight="1">
      <c r="A133" s="715">
        <v>6</v>
      </c>
      <c r="B133" s="720" t="s">
        <v>576</v>
      </c>
      <c r="C133" s="737">
        <f>'1.xi den TT'!J12</f>
        <v>0</v>
      </c>
      <c r="D133" s="738">
        <f>'1.xi den TT'!N12</f>
        <v>0</v>
      </c>
      <c r="E133" s="665"/>
      <c r="F133" s="665"/>
      <c r="G133" s="665"/>
      <c r="H133" s="665"/>
    </row>
    <row r="134" spans="1:8" ht="12.75" hidden="1" customHeight="1">
      <c r="A134" s="715">
        <v>7</v>
      </c>
      <c r="B134" s="720" t="s">
        <v>578</v>
      </c>
      <c r="C134" s="737">
        <f>'1.xi den TT'!J13</f>
        <v>0</v>
      </c>
      <c r="D134" s="738">
        <f>'1.xi den TT'!N13</f>
        <v>0</v>
      </c>
      <c r="E134" s="665"/>
      <c r="F134" s="665"/>
      <c r="G134" s="665"/>
      <c r="H134" s="665"/>
    </row>
    <row r="135" spans="1:8" ht="12.75" hidden="1" customHeight="1">
      <c r="A135" s="715">
        <v>8</v>
      </c>
      <c r="B135" s="322" t="s">
        <v>580</v>
      </c>
      <c r="C135" s="737">
        <f>'1.xi den TT'!J14</f>
        <v>0</v>
      </c>
      <c r="D135" s="738">
        <f>'1.xi den TT'!N14</f>
        <v>0</v>
      </c>
      <c r="E135" s="665"/>
      <c r="F135" s="665"/>
      <c r="G135" s="665"/>
      <c r="H135" s="665"/>
    </row>
    <row r="136" spans="1:8" ht="12.75" hidden="1" customHeight="1">
      <c r="A136" s="715">
        <v>9</v>
      </c>
      <c r="B136" s="720" t="s">
        <v>770</v>
      </c>
      <c r="C136" s="737">
        <f>'1.xi den TT'!J15</f>
        <v>0</v>
      </c>
      <c r="D136" s="738">
        <f>'1.xi den TT'!N15</f>
        <v>0</v>
      </c>
      <c r="E136" s="665"/>
      <c r="F136" s="665"/>
      <c r="G136" s="665"/>
      <c r="H136" s="665"/>
    </row>
    <row r="137" spans="1:8" ht="12.75" hidden="1" customHeight="1">
      <c r="A137" s="721">
        <v>10</v>
      </c>
      <c r="B137" s="722" t="s">
        <v>771</v>
      </c>
      <c r="C137" s="737">
        <f>'1.xi den TT'!J17</f>
        <v>0</v>
      </c>
      <c r="D137" s="738">
        <f>'1.xi den TT'!N17</f>
        <v>0</v>
      </c>
      <c r="E137" s="665"/>
      <c r="F137" s="665"/>
      <c r="G137" s="665"/>
      <c r="H137" s="665"/>
    </row>
    <row r="138" spans="1:8" ht="12.75" hidden="1" customHeight="1">
      <c r="A138" s="721">
        <v>11</v>
      </c>
      <c r="B138" s="722" t="s">
        <v>772</v>
      </c>
      <c r="C138" s="737" t="str">
        <f>'1.xi den TT'!J18</f>
        <v/>
      </c>
      <c r="D138" s="738">
        <f>'1.xi den TT'!N18</f>
        <v>0</v>
      </c>
      <c r="E138" s="665"/>
      <c r="F138" s="665"/>
      <c r="G138" s="665"/>
      <c r="H138" s="665"/>
    </row>
    <row r="139" spans="1:8" ht="12.75" hidden="1" customHeight="1">
      <c r="A139" s="721">
        <v>12</v>
      </c>
      <c r="B139" s="722" t="s">
        <v>377</v>
      </c>
      <c r="C139" s="737"/>
      <c r="D139" s="738"/>
      <c r="E139" s="665"/>
      <c r="F139" s="665"/>
      <c r="G139" s="665"/>
      <c r="H139" s="665"/>
    </row>
    <row r="140" spans="1:8" ht="12.75" hidden="1" customHeight="1">
      <c r="A140" s="721">
        <v>13</v>
      </c>
      <c r="B140" s="722" t="s">
        <v>380</v>
      </c>
      <c r="C140" s="737"/>
      <c r="D140" s="738"/>
      <c r="E140" s="665"/>
      <c r="F140" s="665"/>
      <c r="G140" s="665"/>
      <c r="H140" s="665"/>
    </row>
    <row r="141" spans="1:8" ht="12.75" customHeight="1" thickBot="1">
      <c r="A141" s="672"/>
      <c r="B141" s="391"/>
      <c r="C141" s="739"/>
      <c r="D141" s="740"/>
      <c r="E141" s="665"/>
      <c r="F141" s="665"/>
      <c r="G141" s="665"/>
      <c r="H141" s="665"/>
    </row>
    <row r="142" spans="1:8" ht="12.75" customHeight="1">
      <c r="A142" s="672"/>
      <c r="B142" s="391"/>
      <c r="E142" s="665"/>
      <c r="F142" s="665"/>
      <c r="G142" s="665"/>
      <c r="H142" s="665"/>
    </row>
    <row r="144" spans="1:8" ht="12.75" customHeight="1">
      <c r="A144" s="3902" t="s">
        <v>775</v>
      </c>
      <c r="B144" s="3903"/>
      <c r="E144" s="665"/>
      <c r="F144" s="665"/>
      <c r="G144" s="665"/>
      <c r="H144" s="665"/>
    </row>
    <row r="145" spans="1:8" ht="12.75" customHeight="1">
      <c r="A145" s="3300" t="s">
        <v>7</v>
      </c>
      <c r="B145" s="3905" t="s">
        <v>75</v>
      </c>
      <c r="C145" s="671" t="s">
        <v>154</v>
      </c>
      <c r="D145" s="671" t="s">
        <v>154</v>
      </c>
      <c r="E145" s="665"/>
      <c r="F145" s="665"/>
      <c r="G145" s="665"/>
      <c r="H145" s="665"/>
    </row>
    <row r="146" spans="1:8" ht="12.75" customHeight="1" thickBot="1">
      <c r="A146" s="3904"/>
      <c r="B146" s="3906"/>
      <c r="C146" s="674">
        <v>0.33333333333333331</v>
      </c>
      <c r="D146" s="674">
        <v>0.83333333333333337</v>
      </c>
      <c r="E146" s="665"/>
      <c r="F146" s="665"/>
      <c r="G146" s="665"/>
      <c r="H146" s="665"/>
    </row>
    <row r="147" spans="1:8" ht="12.75" customHeight="1">
      <c r="A147" s="741">
        <v>1</v>
      </c>
      <c r="B147" s="742" t="s">
        <v>525</v>
      </c>
      <c r="C147" s="716">
        <f>'R.GUI MAIL'!H89</f>
        <v>25.911999999999999</v>
      </c>
      <c r="D147" s="717">
        <f>'R.GUI MAIL'!N89</f>
        <v>29.388000000000002</v>
      </c>
      <c r="E147" s="665"/>
      <c r="F147" s="665"/>
      <c r="G147" s="665"/>
      <c r="H147" s="665"/>
    </row>
    <row r="148" spans="1:8" ht="12.75" hidden="1" customHeight="1" thickBot="1">
      <c r="A148" s="741">
        <v>2</v>
      </c>
      <c r="B148" s="742" t="s">
        <v>529</v>
      </c>
      <c r="C148" s="716">
        <f>'R.GUI MAIL'!H90</f>
        <v>22.751999999999999</v>
      </c>
      <c r="D148" s="719">
        <f>'R.GUI MAIL'!N90</f>
        <v>24.648000000000003</v>
      </c>
      <c r="E148" s="665"/>
      <c r="F148" s="665"/>
      <c r="G148" s="665"/>
      <c r="H148" s="665"/>
    </row>
    <row r="149" spans="1:8" ht="12.75" hidden="1" customHeight="1" thickBot="1">
      <c r="A149" s="741">
        <v>3</v>
      </c>
      <c r="B149" s="742" t="s">
        <v>531</v>
      </c>
      <c r="C149" s="716">
        <f>'R.GUI MAIL'!H91</f>
        <v>241.24</v>
      </c>
      <c r="D149" s="719">
        <f>'R.GUI MAIL'!N91</f>
        <v>237.98000000000002</v>
      </c>
      <c r="E149" s="665"/>
      <c r="F149" s="665"/>
      <c r="G149" s="665"/>
      <c r="H149" s="665"/>
    </row>
    <row r="150" spans="1:8" ht="12.75" hidden="1" customHeight="1" thickBot="1">
      <c r="A150" s="741">
        <v>4</v>
      </c>
      <c r="B150" s="323" t="s">
        <v>413</v>
      </c>
      <c r="C150" s="716">
        <f>'R.GUI MAIL'!H92</f>
        <v>123.75</v>
      </c>
      <c r="D150" s="719">
        <f>'R.GUI MAIL'!N92</f>
        <v>122.50000000000001</v>
      </c>
      <c r="E150" s="665"/>
      <c r="F150" s="665"/>
      <c r="G150" s="665"/>
      <c r="H150" s="665"/>
    </row>
    <row r="151" spans="1:8" ht="12.75" hidden="1" customHeight="1" thickBot="1">
      <c r="A151" s="741">
        <v>5</v>
      </c>
      <c r="B151" s="323" t="s">
        <v>414</v>
      </c>
      <c r="C151" s="716">
        <f>'R.GUI MAIL'!H93</f>
        <v>2.1250000000000013</v>
      </c>
      <c r="D151" s="719">
        <f>'R.GUI MAIL'!N93</f>
        <v>2.2500000000000009</v>
      </c>
      <c r="E151" s="665"/>
      <c r="F151" s="665"/>
      <c r="G151" s="665"/>
      <c r="H151" s="665"/>
    </row>
    <row r="152" spans="1:8" ht="12.75" hidden="1" customHeight="1" thickBot="1">
      <c r="A152" s="741">
        <v>6</v>
      </c>
      <c r="B152" s="328" t="s">
        <v>415</v>
      </c>
      <c r="C152" s="716">
        <f>'R.GUI MAIL'!H94</f>
        <v>122.50000000000001</v>
      </c>
      <c r="D152" s="719">
        <f>'R.GUI MAIL'!N94</f>
        <v>123.75</v>
      </c>
      <c r="E152" s="665"/>
      <c r="F152" s="665"/>
      <c r="G152" s="665"/>
      <c r="H152" s="665"/>
    </row>
    <row r="153" spans="1:8" ht="12.75" hidden="1" customHeight="1" thickBot="1">
      <c r="A153" s="741">
        <v>7</v>
      </c>
      <c r="B153" s="328" t="s">
        <v>416</v>
      </c>
      <c r="C153" s="716">
        <f>'R.GUI MAIL'!H95</f>
        <v>2.1250000000000013</v>
      </c>
      <c r="D153" s="719">
        <f>'R.GUI MAIL'!N95</f>
        <v>2.6250000000000009</v>
      </c>
      <c r="E153" s="665"/>
      <c r="F153" s="665"/>
      <c r="G153" s="665"/>
      <c r="H153" s="665"/>
    </row>
    <row r="154" spans="1:8" ht="12.75" hidden="1" customHeight="1" thickBot="1">
      <c r="A154" s="741">
        <v>8</v>
      </c>
      <c r="B154" s="328" t="s">
        <v>417</v>
      </c>
      <c r="C154" s="716">
        <f>'R.GUI MAIL'!H96</f>
        <v>122.50000000000001</v>
      </c>
      <c r="D154" s="719">
        <f>'R.GUI MAIL'!N96</f>
        <v>121.24999999999999</v>
      </c>
      <c r="E154" s="665"/>
      <c r="F154" s="665"/>
      <c r="G154" s="665"/>
      <c r="H154" s="665"/>
    </row>
    <row r="155" spans="1:8" ht="12.75" hidden="1" customHeight="1" thickBot="1">
      <c r="A155" s="741">
        <v>9</v>
      </c>
      <c r="B155" s="328" t="s">
        <v>418</v>
      </c>
      <c r="C155" s="716">
        <f>'R.GUI MAIL'!H97</f>
        <v>2.1250000000000013</v>
      </c>
      <c r="D155" s="719">
        <f>'R.GUI MAIL'!N97</f>
        <v>2.1249999999999991</v>
      </c>
      <c r="E155" s="665"/>
      <c r="F155" s="665"/>
      <c r="G155" s="665"/>
      <c r="H155" s="665"/>
    </row>
    <row r="156" spans="1:8" ht="12.75" hidden="1" customHeight="1" thickBot="1">
      <c r="A156" s="3895">
        <v>10</v>
      </c>
      <c r="B156" s="3493" t="s">
        <v>776</v>
      </c>
      <c r="C156" s="716">
        <f>'R.GUI MAIL'!H98</f>
        <v>8.2160000000000011</v>
      </c>
      <c r="D156" s="719">
        <f>'R.GUI MAIL'!N98</f>
        <v>8.2160000000000011</v>
      </c>
      <c r="E156" s="665"/>
      <c r="F156" s="665"/>
      <c r="G156" s="665"/>
      <c r="H156" s="665"/>
    </row>
    <row r="157" spans="1:8" ht="12.75" hidden="1" customHeight="1" thickBot="1">
      <c r="A157" s="3896"/>
      <c r="B157" s="3897"/>
      <c r="C157" s="716">
        <f>'R.GUI MAIL'!H99</f>
        <v>6.4</v>
      </c>
      <c r="D157" s="719">
        <f>'R.GUI MAIL'!N99</f>
        <v>6.1</v>
      </c>
      <c r="E157" s="665"/>
      <c r="F157" s="665"/>
      <c r="G157" s="665"/>
      <c r="H157" s="665"/>
    </row>
    <row r="158" spans="1:8" ht="12.75" hidden="1" customHeight="1" thickBot="1">
      <c r="A158" s="741">
        <v>12</v>
      </c>
      <c r="B158" s="743" t="s">
        <v>547</v>
      </c>
      <c r="C158" s="716">
        <f>'R.GUI MAIL'!H100</f>
        <v>0</v>
      </c>
      <c r="D158" s="719">
        <f>'R.GUI MAIL'!N100</f>
        <v>0</v>
      </c>
      <c r="E158" s="665"/>
      <c r="F158" s="665"/>
      <c r="G158" s="665"/>
      <c r="H158" s="665"/>
    </row>
    <row r="159" spans="1:8" ht="12.75" hidden="1" customHeight="1" thickBot="1">
      <c r="A159" s="741">
        <v>13</v>
      </c>
      <c r="B159" s="744" t="s">
        <v>549</v>
      </c>
      <c r="C159" s="716">
        <f>'R.GUI MAIL'!H101</f>
        <v>0</v>
      </c>
      <c r="D159" s="719">
        <f>'R.GUI MAIL'!N101</f>
        <v>0</v>
      </c>
      <c r="E159" s="665"/>
      <c r="F159" s="665"/>
      <c r="G159" s="665"/>
      <c r="H159" s="665"/>
    </row>
    <row r="160" spans="1:8" ht="12.75" hidden="1" customHeight="1">
      <c r="A160" s="741">
        <v>14</v>
      </c>
      <c r="B160" s="745" t="s">
        <v>551</v>
      </c>
      <c r="C160" s="716">
        <f>'R.GUI MAIL'!H102</f>
        <v>5.5</v>
      </c>
      <c r="D160" s="719">
        <f>'R.GUI MAIL'!N102</f>
        <v>5.6</v>
      </c>
      <c r="E160" s="665"/>
      <c r="F160" s="665"/>
      <c r="G160" s="665"/>
      <c r="H160" s="665"/>
    </row>
    <row r="161" spans="1:8" ht="12.75" hidden="1" customHeight="1">
      <c r="A161" s="741"/>
      <c r="B161" s="746" t="s">
        <v>72</v>
      </c>
      <c r="C161" s="724" t="s">
        <v>156</v>
      </c>
      <c r="D161" s="747" t="s">
        <v>156</v>
      </c>
      <c r="E161" s="665"/>
      <c r="F161" s="665"/>
      <c r="G161" s="665"/>
      <c r="H161" s="665"/>
    </row>
    <row r="162" spans="1:8" ht="12.75" hidden="1" customHeight="1">
      <c r="A162" s="741" t="s">
        <v>7</v>
      </c>
      <c r="B162" s="748" t="s">
        <v>60</v>
      </c>
      <c r="C162" s="726">
        <v>0.33333333333333331</v>
      </c>
      <c r="D162" s="727">
        <v>0.375</v>
      </c>
      <c r="E162" s="665"/>
      <c r="F162" s="665"/>
      <c r="G162" s="665"/>
      <c r="H162" s="665"/>
    </row>
    <row r="163" spans="1:8" ht="12.75" hidden="1" customHeight="1">
      <c r="A163" s="741">
        <v>1</v>
      </c>
      <c r="B163" s="742" t="s">
        <v>525</v>
      </c>
      <c r="C163" s="718">
        <f>'R.GUI MAIL'!H105</f>
        <v>61</v>
      </c>
      <c r="D163" s="719">
        <f>'R.GUI MAIL'!N105</f>
        <v>59</v>
      </c>
      <c r="E163" s="665"/>
      <c r="F163" s="665"/>
      <c r="G163" s="665"/>
      <c r="H163" s="665"/>
    </row>
    <row r="164" spans="1:8" ht="12.75" hidden="1" customHeight="1">
      <c r="A164" s="741">
        <v>2</v>
      </c>
      <c r="B164" s="742" t="s">
        <v>529</v>
      </c>
      <c r="C164" s="718">
        <f>'R.GUI MAIL'!H106</f>
        <v>60</v>
      </c>
      <c r="D164" s="719">
        <f>'R.GUI MAIL'!N106</f>
        <v>55</v>
      </c>
      <c r="E164" s="665"/>
      <c r="F164" s="665"/>
      <c r="G164" s="665"/>
      <c r="H164" s="665"/>
    </row>
    <row r="165" spans="1:8" ht="12.75" hidden="1" customHeight="1">
      <c r="A165" s="741">
        <v>3</v>
      </c>
      <c r="B165" s="323" t="s">
        <v>777</v>
      </c>
      <c r="C165" s="718">
        <f>'R.GUI MAIL'!H107</f>
        <v>23</v>
      </c>
      <c r="D165" s="719">
        <f>'R.GUI MAIL'!N107</f>
        <v>23</v>
      </c>
      <c r="E165" s="665"/>
      <c r="F165" s="665"/>
      <c r="G165" s="665"/>
      <c r="H165" s="665"/>
    </row>
    <row r="166" spans="1:8" ht="12.75" hidden="1" customHeight="1">
      <c r="A166" s="741">
        <v>4</v>
      </c>
      <c r="B166" s="323" t="s">
        <v>778</v>
      </c>
      <c r="C166" s="718">
        <f>'R.GUI MAIL'!H108</f>
        <v>23</v>
      </c>
      <c r="D166" s="719">
        <f>'R.GUI MAIL'!N108</f>
        <v>23</v>
      </c>
      <c r="E166" s="665"/>
      <c r="F166" s="665"/>
      <c r="G166" s="665"/>
      <c r="H166" s="665"/>
    </row>
    <row r="167" spans="1:8" ht="12.75" hidden="1" customHeight="1">
      <c r="A167" s="741">
        <v>5</v>
      </c>
      <c r="B167" s="323" t="s">
        <v>779</v>
      </c>
      <c r="C167" s="718">
        <f>'R.GUI MAIL'!H109</f>
        <v>22</v>
      </c>
      <c r="D167" s="719">
        <f>'R.GUI MAIL'!N109</f>
        <v>22</v>
      </c>
      <c r="E167" s="665"/>
      <c r="F167" s="665"/>
      <c r="G167" s="665"/>
      <c r="H167" s="665"/>
    </row>
    <row r="168" spans="1:8" ht="12.75" hidden="1" customHeight="1">
      <c r="A168" s="741">
        <v>6</v>
      </c>
      <c r="B168" s="323" t="s">
        <v>776</v>
      </c>
      <c r="C168" s="718">
        <f>'R.GUI MAIL'!H110</f>
        <v>30</v>
      </c>
      <c r="D168" s="719">
        <f>'R.GUI MAIL'!N110</f>
        <v>30</v>
      </c>
      <c r="E168" s="665"/>
      <c r="F168" s="665"/>
      <c r="G168" s="665"/>
      <c r="H168" s="665"/>
    </row>
    <row r="169" spans="1:8" ht="12.75" hidden="1" customHeight="1">
      <c r="A169" s="741">
        <v>8</v>
      </c>
      <c r="B169" s="743" t="s">
        <v>547</v>
      </c>
      <c r="C169" s="718">
        <f>'R.GUI MAIL'!H111</f>
        <v>0</v>
      </c>
      <c r="D169" s="719">
        <f>'R.GUI MAIL'!N111</f>
        <v>0</v>
      </c>
      <c r="E169" s="665"/>
      <c r="F169" s="665"/>
      <c r="G169" s="665"/>
      <c r="H169" s="665"/>
    </row>
    <row r="170" spans="1:8" ht="12.75" hidden="1" customHeight="1">
      <c r="A170" s="741">
        <v>9</v>
      </c>
      <c r="B170" s="744" t="s">
        <v>549</v>
      </c>
      <c r="C170" s="718">
        <f>'R.GUI MAIL'!H112</f>
        <v>0</v>
      </c>
      <c r="D170" s="719">
        <f>'R.GUI MAIL'!N112</f>
        <v>0</v>
      </c>
      <c r="E170" s="665"/>
      <c r="F170" s="665"/>
      <c r="G170" s="665"/>
      <c r="H170" s="665"/>
    </row>
    <row r="171" spans="1:8" ht="12.75" hidden="1" customHeight="1">
      <c r="A171" s="741">
        <v>10</v>
      </c>
      <c r="B171" s="745" t="s">
        <v>551</v>
      </c>
      <c r="C171" s="718">
        <f>'R.GUI MAIL'!H113</f>
        <v>65</v>
      </c>
      <c r="D171" s="719">
        <f>'R.GUI MAIL'!N113</f>
        <v>64</v>
      </c>
      <c r="E171" s="665"/>
      <c r="F171" s="665"/>
      <c r="G171" s="665"/>
      <c r="H171" s="665"/>
    </row>
    <row r="172" spans="1:8" ht="12.75" hidden="1" customHeight="1">
      <c r="A172" s="741">
        <v>11</v>
      </c>
      <c r="B172" s="742" t="s">
        <v>780</v>
      </c>
      <c r="C172" s="718" t="e">
        <f>'R.GUI MAIL'!#REF!</f>
        <v>#REF!</v>
      </c>
      <c r="D172" s="719" t="e">
        <f>'R.GUI MAIL'!#REF!</f>
        <v>#REF!</v>
      </c>
      <c r="E172" s="665"/>
      <c r="F172" s="665"/>
      <c r="G172" s="665"/>
      <c r="H172" s="665"/>
    </row>
    <row r="173" spans="1:8" ht="12.75" hidden="1" customHeight="1">
      <c r="A173" s="741">
        <v>12</v>
      </c>
      <c r="B173" s="323" t="s">
        <v>563</v>
      </c>
      <c r="C173" s="795">
        <f>'5.ML tt'!G33</f>
        <v>104</v>
      </c>
      <c r="D173" s="796">
        <f>'5.ML tt'!K33</f>
        <v>114</v>
      </c>
      <c r="E173" s="665"/>
      <c r="F173" s="665"/>
      <c r="G173" s="665"/>
      <c r="H173" s="665"/>
    </row>
    <row r="174" spans="1:8" ht="12.75" hidden="1" customHeight="1">
      <c r="A174" s="732"/>
      <c r="B174" s="733"/>
      <c r="C174" s="734" t="s">
        <v>155</v>
      </c>
      <c r="D174" s="725"/>
      <c r="E174" s="665"/>
      <c r="F174" s="665"/>
      <c r="G174" s="665"/>
      <c r="H174" s="665"/>
    </row>
    <row r="175" spans="1:8" ht="12.75" hidden="1" customHeight="1">
      <c r="A175" s="732"/>
      <c r="B175" s="733"/>
      <c r="C175" s="726">
        <v>0.33333333333333331</v>
      </c>
      <c r="D175" s="727"/>
      <c r="E175" s="665"/>
      <c r="F175" s="665"/>
      <c r="G175" s="665"/>
      <c r="H175" s="665"/>
    </row>
    <row r="176" spans="1:8" ht="12.75" hidden="1" customHeight="1">
      <c r="A176" s="741">
        <v>1</v>
      </c>
      <c r="B176" s="742" t="s">
        <v>525</v>
      </c>
      <c r="C176" s="737">
        <f>'R.GUI MAIL'!K89</f>
        <v>0</v>
      </c>
      <c r="D176" s="738">
        <f>'R.FILE GOC'!Q89</f>
        <v>0</v>
      </c>
      <c r="E176" s="665"/>
      <c r="F176" s="665"/>
      <c r="G176" s="665"/>
      <c r="H176" s="665"/>
    </row>
    <row r="177" spans="1:8" ht="12.75" hidden="1" customHeight="1">
      <c r="A177" s="741">
        <v>2</v>
      </c>
      <c r="B177" s="742" t="s">
        <v>529</v>
      </c>
      <c r="C177" s="737">
        <f>'R.GUI MAIL'!K90</f>
        <v>3.6687360000000018</v>
      </c>
      <c r="D177" s="738">
        <f>'R.FILE GOC'!Q90</f>
        <v>0</v>
      </c>
      <c r="E177" s="665"/>
      <c r="F177" s="665"/>
      <c r="G177" s="665"/>
      <c r="H177" s="665"/>
    </row>
    <row r="178" spans="1:8" ht="12.75" hidden="1" customHeight="1">
      <c r="A178" s="741">
        <v>3</v>
      </c>
      <c r="B178" s="742" t="s">
        <v>531</v>
      </c>
      <c r="C178" s="737">
        <f>'R.GUI MAIL'!K91</f>
        <v>14.296319999999985</v>
      </c>
      <c r="D178" s="738">
        <f>'R.FILE GOC'!Q91</f>
        <v>8.16</v>
      </c>
      <c r="E178" s="665"/>
      <c r="F178" s="665"/>
      <c r="G178" s="665"/>
      <c r="H178" s="665"/>
    </row>
    <row r="179" spans="1:8" ht="12.75" hidden="1" customHeight="1">
      <c r="A179" s="741">
        <v>4</v>
      </c>
      <c r="B179" s="323" t="s">
        <v>413</v>
      </c>
      <c r="C179" s="737">
        <f>'R.GUI MAIL'!K92</f>
        <v>10.8</v>
      </c>
      <c r="D179" s="738">
        <f>'R.FILE GOC'!Q92</f>
        <v>10.368</v>
      </c>
      <c r="E179" s="665"/>
      <c r="F179" s="665"/>
      <c r="G179" s="665"/>
      <c r="H179" s="665"/>
    </row>
    <row r="180" spans="1:8" ht="12.75" hidden="1" customHeight="1">
      <c r="A180" s="741">
        <v>5</v>
      </c>
      <c r="B180" s="323" t="s">
        <v>414</v>
      </c>
      <c r="C180" s="737">
        <f>'R.GUI MAIL'!K93</f>
        <v>0</v>
      </c>
      <c r="D180" s="738" t="str">
        <f>'R.FILE GOC'!Q93</f>
        <v>N/A</v>
      </c>
      <c r="E180" s="665"/>
      <c r="F180" s="665"/>
      <c r="G180" s="665"/>
      <c r="H180" s="665"/>
    </row>
    <row r="181" spans="1:8" ht="12.75" hidden="1" customHeight="1">
      <c r="A181" s="741">
        <v>6</v>
      </c>
      <c r="B181" s="328" t="s">
        <v>415</v>
      </c>
      <c r="C181" s="737">
        <f>'R.GUI MAIL'!K94</f>
        <v>12.959999999999974</v>
      </c>
      <c r="D181" s="738">
        <f>'R.FILE GOC'!Q94</f>
        <v>10.8</v>
      </c>
      <c r="E181" s="665"/>
      <c r="F181" s="665"/>
      <c r="G181" s="665"/>
      <c r="H181" s="665"/>
    </row>
    <row r="182" spans="1:8" ht="12.75" hidden="1" customHeight="1">
      <c r="A182" s="741">
        <v>7</v>
      </c>
      <c r="B182" s="328" t="s">
        <v>416</v>
      </c>
      <c r="C182" s="737">
        <f>'R.GUI MAIL'!K95</f>
        <v>0</v>
      </c>
      <c r="D182" s="738" t="str">
        <f>'R.FILE GOC'!Q95</f>
        <v>N/A</v>
      </c>
      <c r="E182" s="665"/>
      <c r="F182" s="665"/>
      <c r="G182" s="665"/>
      <c r="H182" s="665"/>
    </row>
    <row r="183" spans="1:8" ht="12.75" hidden="1" customHeight="1">
      <c r="A183" s="741">
        <v>8</v>
      </c>
      <c r="B183" s="328" t="s">
        <v>417</v>
      </c>
      <c r="C183" s="737">
        <f>'R.GUI MAIL'!K96</f>
        <v>12.959999999999974</v>
      </c>
      <c r="D183" s="738">
        <f>'R.FILE GOC'!Q96</f>
        <v>11.231999999999999</v>
      </c>
      <c r="E183" s="665"/>
      <c r="F183" s="665"/>
      <c r="G183" s="665"/>
      <c r="H183" s="665"/>
    </row>
    <row r="184" spans="1:8" ht="12.75" hidden="1" customHeight="1">
      <c r="A184" s="741">
        <v>9</v>
      </c>
      <c r="B184" s="328" t="s">
        <v>418</v>
      </c>
      <c r="C184" s="737">
        <f>'R.GUI MAIL'!K97</f>
        <v>0</v>
      </c>
      <c r="D184" s="738" t="str">
        <f>'R.FILE GOC'!Q97</f>
        <v>N/A</v>
      </c>
      <c r="E184" s="665"/>
      <c r="F184" s="665"/>
      <c r="G184" s="665"/>
      <c r="H184" s="665"/>
    </row>
    <row r="185" spans="1:8" ht="12.75" hidden="1" customHeight="1">
      <c r="A185" s="3895">
        <v>10</v>
      </c>
      <c r="B185" s="3493" t="s">
        <v>776</v>
      </c>
      <c r="C185" s="737">
        <f>'R.GUI MAIL'!K98</f>
        <v>3.0827519999999979</v>
      </c>
      <c r="D185" s="738">
        <f>'R.FILE GOC'!Q98</f>
        <v>2.5920000000000001</v>
      </c>
      <c r="E185" s="665"/>
      <c r="F185" s="665"/>
      <c r="G185" s="665"/>
      <c r="H185" s="665"/>
    </row>
    <row r="186" spans="1:8" ht="12.75" hidden="1" customHeight="1">
      <c r="A186" s="3896"/>
      <c r="B186" s="3897"/>
      <c r="C186" s="737">
        <f>'R.GUI MAIL'!K99</f>
        <v>0</v>
      </c>
      <c r="D186" s="738">
        <f>'R.FILE GOC'!Q99</f>
        <v>0</v>
      </c>
      <c r="E186" s="665"/>
      <c r="F186" s="665"/>
      <c r="G186" s="665"/>
      <c r="H186" s="665"/>
    </row>
    <row r="187" spans="1:8" ht="12.75" customHeight="1" thickBot="1">
      <c r="C187" s="739"/>
      <c r="D187" s="754"/>
      <c r="E187" s="665"/>
      <c r="F187" s="665"/>
      <c r="G187" s="665"/>
      <c r="H187" s="665"/>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1" sqref="C1:I3"/>
    </sheetView>
  </sheetViews>
  <sheetFormatPr defaultColWidth="14.875" defaultRowHeight="15.75"/>
  <cols>
    <col min="1" max="1" width="6.75" style="340" customWidth="1"/>
    <col min="2" max="2" width="13.625" style="340" customWidth="1"/>
    <col min="3" max="3" width="16.5" style="340" customWidth="1"/>
    <col min="4" max="4" width="16.875" style="819" customWidth="1"/>
    <col min="5" max="5" width="17.375" style="819" customWidth="1"/>
    <col min="6" max="7" width="14.5" style="819" customWidth="1"/>
    <col min="8" max="8" width="14.5" style="340" customWidth="1"/>
    <col min="9" max="10" width="14.875" style="340"/>
    <col min="11" max="11" width="22.375" style="340" customWidth="1"/>
    <col min="12" max="16384" width="14.875" style="340"/>
  </cols>
  <sheetData>
    <row r="1" spans="1:11" ht="58.5" customHeight="1">
      <c r="C1" s="3907" t="s">
        <v>836</v>
      </c>
      <c r="D1" s="3907"/>
      <c r="E1" s="3907"/>
      <c r="F1" s="3907"/>
      <c r="G1" s="3907"/>
      <c r="H1" s="3907"/>
      <c r="I1" s="3907"/>
      <c r="J1" s="893"/>
      <c r="K1" s="894" t="s">
        <v>993</v>
      </c>
    </row>
    <row r="2" spans="1:11" s="818" customFormat="1" ht="71.25" customHeight="1">
      <c r="A2" s="829" t="s">
        <v>848</v>
      </c>
      <c r="B2" s="829" t="s">
        <v>844</v>
      </c>
      <c r="C2" s="825" t="s">
        <v>837</v>
      </c>
      <c r="D2" s="826" t="s">
        <v>838</v>
      </c>
      <c r="E2" s="826" t="s">
        <v>839</v>
      </c>
      <c r="F2" s="826" t="s">
        <v>845</v>
      </c>
      <c r="G2" s="826" t="s">
        <v>840</v>
      </c>
      <c r="H2" s="826" t="s">
        <v>841</v>
      </c>
      <c r="I2" s="826" t="s">
        <v>846</v>
      </c>
      <c r="K2" s="1040" t="s">
        <v>994</v>
      </c>
    </row>
    <row r="3" spans="1:11" ht="33.75" customHeight="1">
      <c r="A3" s="830">
        <v>1</v>
      </c>
      <c r="B3" s="827">
        <v>10.199999999999999</v>
      </c>
      <c r="C3" s="820" t="str">
        <f>MENU!AD9</f>
        <v>2024/08/01</v>
      </c>
      <c r="D3" s="821" t="s">
        <v>842</v>
      </c>
      <c r="E3" s="821">
        <f>(B3*1*36.5)/(1*10*1.16)/100</f>
        <v>0.32094827586206898</v>
      </c>
      <c r="F3" s="821" t="s">
        <v>843</v>
      </c>
      <c r="G3" s="822">
        <v>0.35416666666666669</v>
      </c>
      <c r="H3" s="821" t="s">
        <v>1420</v>
      </c>
      <c r="I3" s="821"/>
    </row>
    <row r="4" spans="1:11" ht="33.75" customHeight="1">
      <c r="A4" s="830">
        <v>2</v>
      </c>
      <c r="B4" s="828"/>
      <c r="C4" s="820" t="str">
        <f>IF(B4="","",C3)</f>
        <v/>
      </c>
      <c r="D4" s="821" t="str">
        <f>IF(B4="","","31~ 33%")</f>
        <v/>
      </c>
      <c r="E4" s="821" t="str">
        <f>IF(B4="","",(B4*1*36.5)/(1*10*1.16)/100)</f>
        <v/>
      </c>
      <c r="F4" s="821"/>
      <c r="G4" s="824"/>
      <c r="H4" s="824"/>
      <c r="I4" s="823"/>
    </row>
    <row r="5" spans="1:11" ht="33.75" customHeight="1">
      <c r="A5" s="830">
        <v>3</v>
      </c>
      <c r="B5" s="828"/>
      <c r="C5" s="820" t="str">
        <f t="shared" ref="C5:C8" si="0">IF(B5="","",C4)</f>
        <v/>
      </c>
      <c r="D5" s="821" t="str">
        <f t="shared" ref="D5:D8" si="1">IF(B5="","","31~ 33%")</f>
        <v/>
      </c>
      <c r="E5" s="821" t="str">
        <f t="shared" ref="E5:E8" si="2">IF(B5="","",(B5*1*36.5)/(1*10*1.16)/100)</f>
        <v/>
      </c>
      <c r="F5" s="821"/>
      <c r="G5" s="824"/>
      <c r="H5" s="824"/>
      <c r="I5" s="823"/>
    </row>
    <row r="6" spans="1:11" ht="33.75" customHeight="1">
      <c r="A6" s="830">
        <v>4</v>
      </c>
      <c r="B6" s="828"/>
      <c r="C6" s="820" t="str">
        <f t="shared" si="0"/>
        <v/>
      </c>
      <c r="D6" s="821" t="str">
        <f t="shared" si="1"/>
        <v/>
      </c>
      <c r="E6" s="821" t="str">
        <f t="shared" si="2"/>
        <v/>
      </c>
      <c r="F6" s="821"/>
      <c r="G6" s="824"/>
      <c r="H6" s="824"/>
      <c r="I6" s="823"/>
    </row>
    <row r="7" spans="1:11" ht="33.75" customHeight="1">
      <c r="A7" s="830">
        <v>5</v>
      </c>
      <c r="B7" s="828"/>
      <c r="C7" s="820" t="str">
        <f t="shared" si="0"/>
        <v/>
      </c>
      <c r="D7" s="821" t="str">
        <f t="shared" si="1"/>
        <v/>
      </c>
      <c r="E7" s="821" t="str">
        <f t="shared" si="2"/>
        <v/>
      </c>
      <c r="F7" s="821"/>
      <c r="G7" s="824"/>
      <c r="H7" s="824"/>
      <c r="I7" s="823"/>
    </row>
    <row r="8" spans="1:11" ht="33.75" customHeight="1">
      <c r="A8" s="830">
        <v>6</v>
      </c>
      <c r="B8" s="828"/>
      <c r="C8" s="820" t="str">
        <f t="shared" si="0"/>
        <v/>
      </c>
      <c r="D8" s="821" t="str">
        <f t="shared" si="1"/>
        <v/>
      </c>
      <c r="E8" s="821" t="str">
        <f t="shared" si="2"/>
        <v/>
      </c>
      <c r="F8" s="821"/>
      <c r="G8" s="824"/>
      <c r="H8" s="824"/>
      <c r="I8" s="823"/>
    </row>
    <row r="10" spans="1:11">
      <c r="E10" s="893"/>
    </row>
    <row r="11" spans="1:11" ht="60.75" customHeight="1">
      <c r="B11" s="1039" t="s">
        <v>990</v>
      </c>
      <c r="C11" s="1037" t="s">
        <v>984</v>
      </c>
      <c r="E11" s="1038"/>
    </row>
    <row r="12" spans="1:11">
      <c r="C12" s="1037" t="s">
        <v>985</v>
      </c>
    </row>
    <row r="13" spans="1:11">
      <c r="C13" s="1037" t="s">
        <v>986</v>
      </c>
    </row>
    <row r="14" spans="1:11">
      <c r="C14" s="1037" t="s">
        <v>987</v>
      </c>
    </row>
    <row r="15" spans="1:11">
      <c r="C15" s="1037" t="s">
        <v>991</v>
      </c>
    </row>
    <row r="16" spans="1:11">
      <c r="C16" s="1037" t="s">
        <v>988</v>
      </c>
    </row>
    <row r="17" spans="3:3">
      <c r="C17" s="1037" t="s">
        <v>989</v>
      </c>
    </row>
    <row r="18" spans="3:3">
      <c r="C18" s="1037" t="s">
        <v>992</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7.xml><?xml version="1.0" encoding="utf-8"?>
<worksheet xmlns="http://schemas.openxmlformats.org/spreadsheetml/2006/main" xmlns:r="http://schemas.openxmlformats.org/officeDocument/2006/relationships">
  <sheetPr codeName="Sheet21"/>
  <dimension ref="A2:R92"/>
  <sheetViews>
    <sheetView zoomScale="70" zoomScaleNormal="70" workbookViewId="0"/>
  </sheetViews>
  <sheetFormatPr defaultRowHeight="15.75"/>
  <cols>
    <col min="1" max="1" width="15.875" style="1152" customWidth="1"/>
    <col min="2" max="3" width="10.625" style="1153" customWidth="1"/>
    <col min="4" max="4" width="10.625" style="1152" customWidth="1"/>
    <col min="5" max="5" width="12.375" style="1152" customWidth="1"/>
    <col min="6" max="7" width="10.625" style="1153" customWidth="1"/>
    <col min="8" max="9" width="10.625" style="1152" customWidth="1"/>
    <col min="10" max="10" width="13.875" style="1153" customWidth="1"/>
    <col min="11" max="11" width="10.625" style="1153" customWidth="1"/>
    <col min="12" max="12" width="14.375" style="1152" customWidth="1"/>
    <col min="13" max="13" width="15.125" style="1152" customWidth="1"/>
    <col min="14" max="14" width="10.125" style="1152" customWidth="1"/>
    <col min="15" max="15" width="9" style="330"/>
    <col min="16" max="16" width="17" style="1152" customWidth="1"/>
    <col min="17" max="17" width="9" style="1152"/>
    <col min="18" max="18" width="13.125" style="1152" customWidth="1"/>
    <col min="19" max="16384" width="9" style="1152"/>
  </cols>
  <sheetData>
    <row r="2" spans="1:18">
      <c r="B2" s="1153" t="s">
        <v>224</v>
      </c>
    </row>
    <row r="3" spans="1:18">
      <c r="B3" s="1154" t="s">
        <v>158</v>
      </c>
      <c r="C3" s="1154" t="s">
        <v>159</v>
      </c>
      <c r="D3" s="1155" t="s">
        <v>160</v>
      </c>
      <c r="E3" s="1155" t="s">
        <v>159</v>
      </c>
      <c r="F3" s="1154" t="s">
        <v>161</v>
      </c>
      <c r="G3" s="1154" t="s">
        <v>159</v>
      </c>
      <c r="H3" s="1155" t="s">
        <v>162</v>
      </c>
      <c r="I3" s="1155" t="s">
        <v>159</v>
      </c>
      <c r="J3" s="1154" t="s">
        <v>163</v>
      </c>
      <c r="K3" s="1154" t="s">
        <v>164</v>
      </c>
      <c r="L3" s="1154" t="s">
        <v>165</v>
      </c>
      <c r="M3" s="1154" t="s">
        <v>166</v>
      </c>
      <c r="N3" s="1154" t="s">
        <v>167</v>
      </c>
      <c r="P3" s="1152" t="s">
        <v>169</v>
      </c>
      <c r="R3" s="1152" t="s">
        <v>170</v>
      </c>
    </row>
    <row r="4" spans="1:18">
      <c r="B4" s="1154">
        <v>305</v>
      </c>
      <c r="C4" s="1154">
        <v>500</v>
      </c>
      <c r="D4" s="1155">
        <v>305</v>
      </c>
      <c r="E4" s="1153">
        <v>500</v>
      </c>
      <c r="F4" s="1154">
        <v>305</v>
      </c>
      <c r="G4" s="1154">
        <v>130</v>
      </c>
      <c r="H4" s="1155">
        <v>305</v>
      </c>
      <c r="I4" s="1155">
        <v>130</v>
      </c>
      <c r="J4" s="1154">
        <v>305</v>
      </c>
      <c r="K4" s="1154">
        <v>700</v>
      </c>
      <c r="L4" s="1152">
        <v>305</v>
      </c>
      <c r="M4" s="1152">
        <v>305</v>
      </c>
      <c r="N4" s="1152">
        <v>305</v>
      </c>
      <c r="O4" s="330" t="s">
        <v>1102</v>
      </c>
      <c r="P4" s="1152">
        <v>305</v>
      </c>
      <c r="Q4" s="1152">
        <v>305</v>
      </c>
      <c r="R4" s="1152">
        <v>300</v>
      </c>
    </row>
    <row r="5" spans="1:18">
      <c r="B5" s="1154">
        <v>260</v>
      </c>
      <c r="C5" s="1154">
        <v>90</v>
      </c>
      <c r="D5" s="1155">
        <v>165</v>
      </c>
      <c r="E5" s="1153">
        <v>90</v>
      </c>
      <c r="F5" s="1154">
        <v>176</v>
      </c>
      <c r="G5" s="1154">
        <v>80</v>
      </c>
      <c r="H5" s="1155">
        <v>187</v>
      </c>
      <c r="I5" s="1155">
        <v>80</v>
      </c>
      <c r="J5" s="1154">
        <v>205</v>
      </c>
      <c r="K5" s="1154">
        <v>134</v>
      </c>
      <c r="L5" s="1152">
        <v>158</v>
      </c>
      <c r="M5" s="1152">
        <v>247</v>
      </c>
      <c r="N5" s="1152">
        <v>76</v>
      </c>
      <c r="O5" s="330" t="s">
        <v>1102</v>
      </c>
      <c r="P5" s="1152">
        <v>68</v>
      </c>
      <c r="Q5" s="1152">
        <v>95</v>
      </c>
      <c r="R5" s="1152">
        <v>80</v>
      </c>
    </row>
    <row r="6" spans="1:18">
      <c r="B6" s="1154">
        <v>155</v>
      </c>
      <c r="C6" s="1154">
        <v>110</v>
      </c>
      <c r="D6" s="1155">
        <v>155</v>
      </c>
      <c r="E6" s="1153">
        <v>110</v>
      </c>
      <c r="F6" s="1154">
        <v>155</v>
      </c>
      <c r="G6" s="1154">
        <v>76</v>
      </c>
      <c r="H6" s="1155">
        <v>155</v>
      </c>
      <c r="I6" s="1155">
        <v>76</v>
      </c>
      <c r="J6" s="1154">
        <v>155</v>
      </c>
      <c r="K6" s="1154">
        <v>112</v>
      </c>
      <c r="L6" s="1152">
        <v>155</v>
      </c>
      <c r="M6" s="1152">
        <v>155</v>
      </c>
      <c r="N6" s="1152">
        <v>155</v>
      </c>
      <c r="O6" s="330" t="s">
        <v>1102</v>
      </c>
      <c r="P6" s="1152">
        <v>155</v>
      </c>
      <c r="Q6" s="1152">
        <v>155</v>
      </c>
      <c r="R6" s="1152">
        <v>140</v>
      </c>
    </row>
    <row r="7" spans="1:18">
      <c r="B7" s="1156">
        <f>B4*B5*B6/1000</f>
        <v>12291.5</v>
      </c>
      <c r="C7" s="1156">
        <f t="shared" ref="C7:R7" si="0">C4*C5*C6/1000</f>
        <v>4950</v>
      </c>
      <c r="D7" s="1157">
        <f t="shared" si="0"/>
        <v>7800.375</v>
      </c>
      <c r="E7" s="1157">
        <f t="shared" si="0"/>
        <v>4950</v>
      </c>
      <c r="F7" s="1156">
        <f t="shared" si="0"/>
        <v>8320.4</v>
      </c>
      <c r="G7" s="1156">
        <f t="shared" si="0"/>
        <v>790.4</v>
      </c>
      <c r="H7" s="1157">
        <f t="shared" si="0"/>
        <v>8840.4249999999993</v>
      </c>
      <c r="I7" s="1157">
        <f t="shared" si="0"/>
        <v>790.4</v>
      </c>
      <c r="J7" s="1158">
        <f>J4*J5*J6/1000*5</f>
        <v>48456.875</v>
      </c>
      <c r="K7" s="1156">
        <f t="shared" si="0"/>
        <v>10505.6</v>
      </c>
      <c r="L7" s="1156">
        <f t="shared" si="0"/>
        <v>7469.45</v>
      </c>
      <c r="M7" s="1156">
        <f t="shared" si="0"/>
        <v>11676.924999999999</v>
      </c>
      <c r="N7" s="1156">
        <f t="shared" si="0"/>
        <v>3592.9</v>
      </c>
      <c r="P7" s="1156">
        <f t="shared" si="0"/>
        <v>3214.7</v>
      </c>
      <c r="Q7" s="1156">
        <f t="shared" si="0"/>
        <v>4491.125</v>
      </c>
      <c r="R7" s="1156">
        <f t="shared" si="0"/>
        <v>3360</v>
      </c>
    </row>
    <row r="8" spans="1:18">
      <c r="B8" s="3914">
        <f>B7+C7</f>
        <v>17241.5</v>
      </c>
      <c r="C8" s="3914"/>
      <c r="D8" s="3915">
        <f>D7+E7</f>
        <v>12750.375</v>
      </c>
      <c r="E8" s="3915"/>
      <c r="F8" s="3914">
        <f>F7+G7</f>
        <v>9110.7999999999993</v>
      </c>
      <c r="G8" s="3914"/>
      <c r="H8" s="3915">
        <f>H7+I7</f>
        <v>9630.8249999999989</v>
      </c>
      <c r="I8" s="3915"/>
      <c r="J8" s="3914">
        <f>J7+K7</f>
        <v>58962.474999999999</v>
      </c>
      <c r="K8" s="3914"/>
      <c r="L8" s="1159">
        <f t="shared" ref="L8:Q8" si="1">L7</f>
        <v>7469.45</v>
      </c>
      <c r="M8" s="1159">
        <f t="shared" si="1"/>
        <v>11676.924999999999</v>
      </c>
      <c r="N8" s="1159">
        <f t="shared" si="1"/>
        <v>3592.9</v>
      </c>
      <c r="P8" s="1159">
        <f t="shared" si="1"/>
        <v>3214.7</v>
      </c>
      <c r="Q8" s="1159">
        <f t="shared" si="1"/>
        <v>4491.125</v>
      </c>
    </row>
    <row r="9" spans="1:18">
      <c r="A9" s="1152" t="s">
        <v>1103</v>
      </c>
      <c r="B9" s="3911">
        <f>B8*90%</f>
        <v>15517.35</v>
      </c>
      <c r="C9" s="3911"/>
      <c r="D9" s="3912">
        <f>D8*90%</f>
        <v>11475.3375</v>
      </c>
      <c r="E9" s="3912"/>
      <c r="F9" s="3913">
        <f>F8*90%</f>
        <v>8199.7199999999993</v>
      </c>
      <c r="G9" s="3913"/>
      <c r="H9" s="3913">
        <f>H8*90%</f>
        <v>8667.7424999999985</v>
      </c>
      <c r="I9" s="3913"/>
      <c r="J9" s="3913">
        <f>J8*90%</f>
        <v>53066.227500000001</v>
      </c>
      <c r="K9" s="3913"/>
      <c r="L9" s="1160">
        <f t="shared" ref="L9:Q9" si="2">L8*90%</f>
        <v>6722.5050000000001</v>
      </c>
      <c r="M9" s="1160">
        <f t="shared" si="2"/>
        <v>10509.2325</v>
      </c>
      <c r="N9" s="1160">
        <f t="shared" si="2"/>
        <v>3233.61</v>
      </c>
      <c r="P9" s="1160">
        <f t="shared" si="2"/>
        <v>2893.23</v>
      </c>
      <c r="Q9" s="1160">
        <f t="shared" si="2"/>
        <v>4042.0125000000003</v>
      </c>
      <c r="R9" s="1156">
        <v>3360</v>
      </c>
    </row>
    <row r="10" spans="1:18">
      <c r="F10" s="1161"/>
      <c r="G10" s="1161"/>
      <c r="L10" s="2263">
        <f>L9/2</f>
        <v>3361.2525000000001</v>
      </c>
    </row>
    <row r="11" spans="1:18">
      <c r="C11" s="1153">
        <v>500</v>
      </c>
    </row>
    <row r="12" spans="1:18">
      <c r="C12" s="1153">
        <v>90</v>
      </c>
    </row>
    <row r="13" spans="1:18">
      <c r="C13" s="1153">
        <v>110</v>
      </c>
    </row>
    <row r="14" spans="1:18">
      <c r="C14" s="1153" t="s">
        <v>171</v>
      </c>
    </row>
    <row r="18" spans="2:13" ht="33.75" customHeight="1">
      <c r="B18" s="3143" t="s">
        <v>105</v>
      </c>
      <c r="C18" s="3144"/>
      <c r="D18" s="3144"/>
      <c r="E18" s="3145"/>
    </row>
    <row r="19" spans="2:13" ht="39" customHeight="1">
      <c r="B19" s="3146"/>
      <c r="C19" s="3147"/>
      <c r="D19" s="3147"/>
      <c r="E19" s="3148"/>
    </row>
    <row r="20" spans="2:13" ht="18" customHeight="1">
      <c r="B20" s="1151"/>
      <c r="C20" s="1151" t="s">
        <v>176</v>
      </c>
      <c r="D20" s="1151" t="s">
        <v>5</v>
      </c>
      <c r="E20" s="1151"/>
    </row>
    <row r="21" spans="2:13">
      <c r="B21" s="1153" t="s">
        <v>174</v>
      </c>
      <c r="C21" s="1153" t="s">
        <v>177</v>
      </c>
      <c r="D21" s="1152" t="s">
        <v>179</v>
      </c>
      <c r="E21" s="1152" t="s">
        <v>181</v>
      </c>
    </row>
    <row r="22" spans="2:13">
      <c r="B22" s="1153" t="s">
        <v>175</v>
      </c>
      <c r="C22" s="1153" t="s">
        <v>178</v>
      </c>
      <c r="D22" s="1152" t="s">
        <v>180</v>
      </c>
      <c r="E22" s="1152" t="s">
        <v>182</v>
      </c>
    </row>
    <row r="24" spans="2:13">
      <c r="B24" s="1153" t="s">
        <v>183</v>
      </c>
      <c r="C24" s="1151" t="s">
        <v>5</v>
      </c>
      <c r="D24" s="1152" t="s">
        <v>184</v>
      </c>
      <c r="E24" s="1152" t="s">
        <v>186</v>
      </c>
    </row>
    <row r="25" spans="2:13">
      <c r="C25" s="1162" t="s">
        <v>185</v>
      </c>
      <c r="D25" s="1163">
        <v>0.15</v>
      </c>
      <c r="E25" s="1152" t="s">
        <v>187</v>
      </c>
      <c r="F25" s="1153" t="s">
        <v>1104</v>
      </c>
    </row>
    <row r="26" spans="2:13">
      <c r="C26" s="1162">
        <v>1.8</v>
      </c>
      <c r="D26" s="1163">
        <v>0.15</v>
      </c>
      <c r="E26" s="1152" t="s">
        <v>187</v>
      </c>
      <c r="F26" s="1153" t="s">
        <v>188</v>
      </c>
    </row>
    <row r="27" spans="2:13">
      <c r="C27" s="1162" t="s">
        <v>189</v>
      </c>
      <c r="D27" s="1163">
        <v>0.15</v>
      </c>
      <c r="E27" s="1152" t="s">
        <v>187</v>
      </c>
      <c r="F27" s="1153" t="s">
        <v>190</v>
      </c>
    </row>
    <row r="28" spans="2:13">
      <c r="B28" s="1153" t="s">
        <v>1105</v>
      </c>
      <c r="D28" s="1163"/>
    </row>
    <row r="29" spans="2:13" ht="34.5" customHeight="1"/>
    <row r="30" spans="2:13" ht="16.5" customHeight="1">
      <c r="B30" s="1164" t="s">
        <v>1106</v>
      </c>
      <c r="C30" s="1164"/>
      <c r="D30" s="1165"/>
    </row>
    <row r="31" spans="2:13">
      <c r="B31" s="1153" t="s">
        <v>196</v>
      </c>
      <c r="C31" s="1153" t="s">
        <v>197</v>
      </c>
      <c r="D31" s="1152" t="s">
        <v>198</v>
      </c>
      <c r="E31" s="1152" t="s">
        <v>199</v>
      </c>
      <c r="F31" s="1153" t="s">
        <v>200</v>
      </c>
      <c r="G31" s="1153" t="s">
        <v>201</v>
      </c>
      <c r="H31" s="1152" t="s">
        <v>202</v>
      </c>
      <c r="I31" s="1166" t="s">
        <v>203</v>
      </c>
      <c r="J31" s="1167" t="s">
        <v>207</v>
      </c>
      <c r="K31" s="1153" t="s">
        <v>204</v>
      </c>
      <c r="L31" s="1152" t="s">
        <v>168</v>
      </c>
    </row>
    <row r="32" spans="2:13">
      <c r="B32" s="1153">
        <v>8</v>
      </c>
      <c r="C32" s="1153">
        <v>8</v>
      </c>
      <c r="D32" s="1153">
        <v>8</v>
      </c>
      <c r="E32" s="1153">
        <v>8</v>
      </c>
      <c r="F32" s="1153">
        <v>8</v>
      </c>
      <c r="G32" s="1153">
        <v>8</v>
      </c>
      <c r="H32" s="1153">
        <v>8</v>
      </c>
      <c r="I32" s="1167">
        <v>8</v>
      </c>
      <c r="J32" s="1167">
        <v>17</v>
      </c>
      <c r="K32" s="1153">
        <v>8</v>
      </c>
      <c r="L32" s="1153">
        <v>8</v>
      </c>
      <c r="M32" s="1152" t="s">
        <v>205</v>
      </c>
    </row>
    <row r="33" spans="2:13">
      <c r="B33" s="1153">
        <v>6.5</v>
      </c>
      <c r="C33" s="1153">
        <v>6.5</v>
      </c>
      <c r="D33" s="1153">
        <v>6.5</v>
      </c>
      <c r="E33" s="1153">
        <v>6.5</v>
      </c>
      <c r="F33" s="1153">
        <v>6.5</v>
      </c>
      <c r="G33" s="1153">
        <v>6.5</v>
      </c>
      <c r="H33" s="1153">
        <v>6.5</v>
      </c>
      <c r="I33" s="1167">
        <v>6.5</v>
      </c>
      <c r="J33" s="1167">
        <v>6.5</v>
      </c>
      <c r="K33" s="1153">
        <v>6.5</v>
      </c>
      <c r="L33" s="1153">
        <v>6.5</v>
      </c>
      <c r="M33" s="1152" t="s">
        <v>205</v>
      </c>
    </row>
    <row r="34" spans="2:13">
      <c r="B34" s="1153">
        <v>15</v>
      </c>
      <c r="C34" s="1153">
        <v>15</v>
      </c>
      <c r="D34" s="1152">
        <v>17</v>
      </c>
      <c r="E34" s="1152">
        <v>17</v>
      </c>
      <c r="F34" s="1153">
        <v>13</v>
      </c>
      <c r="G34" s="1153">
        <v>19.5</v>
      </c>
      <c r="H34" s="1152">
        <v>6.5</v>
      </c>
      <c r="I34" s="1166">
        <f>29.5*4</f>
        <v>118</v>
      </c>
      <c r="J34" s="1167">
        <v>25</v>
      </c>
      <c r="K34" s="1153">
        <v>6.5</v>
      </c>
      <c r="L34" s="1152">
        <v>6.5</v>
      </c>
      <c r="M34" s="1152" t="s">
        <v>205</v>
      </c>
    </row>
    <row r="35" spans="2:13">
      <c r="B35" s="1164">
        <f>B32*B33*B34</f>
        <v>780</v>
      </c>
      <c r="C35" s="1164">
        <f t="shared" ref="C35:L35" si="3">C32*C33*C34</f>
        <v>780</v>
      </c>
      <c r="D35" s="1164">
        <f t="shared" si="3"/>
        <v>884</v>
      </c>
      <c r="E35" s="1164">
        <f t="shared" si="3"/>
        <v>884</v>
      </c>
      <c r="F35" s="1164">
        <f t="shared" si="3"/>
        <v>676</v>
      </c>
      <c r="G35" s="1164">
        <f t="shared" si="3"/>
        <v>1014</v>
      </c>
      <c r="H35" s="1164">
        <f t="shared" si="3"/>
        <v>338</v>
      </c>
      <c r="I35" s="1167">
        <f t="shared" si="3"/>
        <v>6136</v>
      </c>
      <c r="J35" s="1167">
        <f t="shared" si="3"/>
        <v>2762.5</v>
      </c>
      <c r="K35" s="1164">
        <f t="shared" si="3"/>
        <v>338</v>
      </c>
      <c r="L35" s="1164">
        <f t="shared" si="3"/>
        <v>338</v>
      </c>
      <c r="M35" s="1152" t="s">
        <v>206</v>
      </c>
    </row>
    <row r="36" spans="2:13">
      <c r="B36" s="1168">
        <f>B35*85%</f>
        <v>663</v>
      </c>
      <c r="C36" s="1168">
        <f t="shared" ref="C36:L36" si="4">C35*85%</f>
        <v>663</v>
      </c>
      <c r="D36" s="1168">
        <f t="shared" si="4"/>
        <v>751.4</v>
      </c>
      <c r="E36" s="1168">
        <f t="shared" si="4"/>
        <v>751.4</v>
      </c>
      <c r="F36" s="1168">
        <f t="shared" si="4"/>
        <v>574.6</v>
      </c>
      <c r="G36" s="1168">
        <f t="shared" si="4"/>
        <v>861.9</v>
      </c>
      <c r="H36" s="1168">
        <f t="shared" si="4"/>
        <v>287.3</v>
      </c>
      <c r="I36" s="1168">
        <f t="shared" si="4"/>
        <v>5215.5999999999995</v>
      </c>
      <c r="J36" s="1168">
        <f t="shared" si="4"/>
        <v>2348.125</v>
      </c>
      <c r="K36" s="1168">
        <f t="shared" si="4"/>
        <v>287.3</v>
      </c>
      <c r="L36" s="1168">
        <f t="shared" si="4"/>
        <v>287.3</v>
      </c>
      <c r="M36" s="1152" t="s">
        <v>209</v>
      </c>
    </row>
    <row r="37" spans="2:13">
      <c r="B37" s="1153" t="s">
        <v>219</v>
      </c>
      <c r="I37" s="1169">
        <f>I36+J36</f>
        <v>7563.7249999999995</v>
      </c>
    </row>
    <row r="38" spans="2:13">
      <c r="B38" s="1153" t="s">
        <v>1107</v>
      </c>
    </row>
    <row r="39" spans="2:13">
      <c r="B39" s="1153" t="s">
        <v>220</v>
      </c>
      <c r="C39" s="1170">
        <f>0.05%*7564</f>
        <v>3.782</v>
      </c>
      <c r="D39" s="1152" t="s">
        <v>221</v>
      </c>
    </row>
    <row r="40" spans="2:13">
      <c r="B40" s="1153" t="s">
        <v>222</v>
      </c>
      <c r="C40" s="1171">
        <f>3%*7564</f>
        <v>226.92</v>
      </c>
      <c r="D40" s="1152" t="s">
        <v>221</v>
      </c>
    </row>
    <row r="43" spans="2:13" ht="16.5" customHeight="1">
      <c r="B43" s="1164" t="s">
        <v>1108</v>
      </c>
      <c r="C43" s="1164"/>
      <c r="D43" s="1165"/>
    </row>
    <row r="44" spans="2:13">
      <c r="B44" s="1153" t="s">
        <v>196</v>
      </c>
      <c r="C44" s="1153" t="s">
        <v>197</v>
      </c>
      <c r="D44" s="1152" t="s">
        <v>198</v>
      </c>
      <c r="E44" s="1152" t="s">
        <v>199</v>
      </c>
      <c r="F44" s="1153" t="s">
        <v>200</v>
      </c>
      <c r="G44" s="1153" t="s">
        <v>201</v>
      </c>
      <c r="H44" s="1152" t="s">
        <v>202</v>
      </c>
      <c r="I44" s="1166" t="s">
        <v>203</v>
      </c>
      <c r="J44" s="1167" t="s">
        <v>207</v>
      </c>
      <c r="K44" s="1153" t="s">
        <v>204</v>
      </c>
      <c r="L44" s="1152" t="s">
        <v>168</v>
      </c>
    </row>
    <row r="45" spans="2:13">
      <c r="B45" s="1153">
        <v>16</v>
      </c>
      <c r="C45" s="1153">
        <v>16</v>
      </c>
      <c r="D45" s="1153">
        <v>16</v>
      </c>
      <c r="E45" s="1153">
        <v>16</v>
      </c>
      <c r="F45" s="1153">
        <v>16</v>
      </c>
      <c r="G45" s="1153">
        <v>16</v>
      </c>
      <c r="H45" s="1153">
        <v>16</v>
      </c>
      <c r="I45" s="1170">
        <v>16</v>
      </c>
      <c r="J45" s="1153">
        <v>12</v>
      </c>
      <c r="K45" s="1153">
        <v>16</v>
      </c>
      <c r="L45" s="1153">
        <v>16</v>
      </c>
      <c r="M45" s="1152" t="s">
        <v>205</v>
      </c>
    </row>
    <row r="46" spans="2:13">
      <c r="B46" s="1153">
        <v>22.5</v>
      </c>
      <c r="C46" s="1153">
        <v>30</v>
      </c>
      <c r="D46" s="1153">
        <v>17</v>
      </c>
      <c r="E46" s="1153">
        <v>16.5</v>
      </c>
      <c r="F46" s="1153">
        <v>7.5</v>
      </c>
      <c r="G46" s="1153">
        <v>24</v>
      </c>
      <c r="H46" s="1153">
        <v>6.5</v>
      </c>
      <c r="I46" s="1172">
        <v>180</v>
      </c>
      <c r="J46" s="1167">
        <v>42</v>
      </c>
      <c r="K46" s="1153">
        <v>6.5</v>
      </c>
      <c r="L46" s="1153">
        <v>6.5</v>
      </c>
      <c r="M46" s="1152" t="s">
        <v>205</v>
      </c>
    </row>
    <row r="47" spans="2:13">
      <c r="B47" s="1153">
        <v>6</v>
      </c>
      <c r="C47" s="1153">
        <v>6</v>
      </c>
      <c r="D47" s="1152">
        <v>5</v>
      </c>
      <c r="E47" s="1152">
        <v>6.5</v>
      </c>
      <c r="F47" s="1153">
        <v>6</v>
      </c>
      <c r="G47" s="1152">
        <v>6.5</v>
      </c>
      <c r="H47" s="1152">
        <v>6.5</v>
      </c>
      <c r="I47" s="1173">
        <v>6.4</v>
      </c>
      <c r="J47" s="1167">
        <v>10</v>
      </c>
      <c r="K47" s="1153">
        <v>6.5</v>
      </c>
      <c r="L47" s="1152">
        <v>6</v>
      </c>
      <c r="M47" s="1152" t="s">
        <v>205</v>
      </c>
    </row>
    <row r="48" spans="2:13">
      <c r="B48" s="1164">
        <f>B45*B46*B47</f>
        <v>2160</v>
      </c>
      <c r="C48" s="1164">
        <f t="shared" ref="C48:L48" si="5">C45*C46*C47</f>
        <v>2880</v>
      </c>
      <c r="D48" s="1164">
        <f t="shared" si="5"/>
        <v>1360</v>
      </c>
      <c r="E48" s="1164">
        <f t="shared" si="5"/>
        <v>1716</v>
      </c>
      <c r="F48" s="1164">
        <f t="shared" si="5"/>
        <v>720</v>
      </c>
      <c r="G48" s="1164">
        <f t="shared" si="5"/>
        <v>2496</v>
      </c>
      <c r="H48" s="1164">
        <f t="shared" si="5"/>
        <v>676</v>
      </c>
      <c r="I48" s="1167">
        <f t="shared" si="5"/>
        <v>18432</v>
      </c>
      <c r="J48" s="1167">
        <f t="shared" si="5"/>
        <v>5040</v>
      </c>
      <c r="K48" s="1164">
        <f t="shared" si="5"/>
        <v>676</v>
      </c>
      <c r="L48" s="1164">
        <f t="shared" si="5"/>
        <v>624</v>
      </c>
      <c r="M48" s="1152" t="s">
        <v>206</v>
      </c>
    </row>
    <row r="49" spans="1:13">
      <c r="B49" s="1168">
        <f>B48*85%</f>
        <v>1836</v>
      </c>
      <c r="C49" s="1168">
        <f t="shared" ref="C49:L49" si="6">C48*85%</f>
        <v>2448</v>
      </c>
      <c r="D49" s="1168">
        <f t="shared" si="6"/>
        <v>1156</v>
      </c>
      <c r="E49" s="1168">
        <f t="shared" si="6"/>
        <v>1458.6</v>
      </c>
      <c r="F49" s="1168">
        <f t="shared" si="6"/>
        <v>612</v>
      </c>
      <c r="G49" s="1168">
        <f t="shared" si="6"/>
        <v>2121.6</v>
      </c>
      <c r="H49" s="1168">
        <f t="shared" si="6"/>
        <v>574.6</v>
      </c>
      <c r="I49" s="1168">
        <f t="shared" si="6"/>
        <v>15667.199999999999</v>
      </c>
      <c r="J49" s="1168">
        <f t="shared" si="6"/>
        <v>4284</v>
      </c>
      <c r="K49" s="1168">
        <f t="shared" si="6"/>
        <v>574.6</v>
      </c>
      <c r="L49" s="1168">
        <f t="shared" si="6"/>
        <v>530.4</v>
      </c>
      <c r="M49" s="1152" t="s">
        <v>209</v>
      </c>
    </row>
    <row r="50" spans="1:13">
      <c r="I50" s="1169">
        <f>I49+J49</f>
        <v>19951.199999999997</v>
      </c>
    </row>
    <row r="52" spans="1:13">
      <c r="B52" s="1152"/>
      <c r="C52" s="1152"/>
    </row>
    <row r="54" spans="1:13">
      <c r="B54" s="1174" t="s">
        <v>1110</v>
      </c>
    </row>
    <row r="55" spans="1:13">
      <c r="B55" s="1153" t="s">
        <v>1111</v>
      </c>
    </row>
    <row r="56" spans="1:13">
      <c r="B56" s="1153" t="s">
        <v>1112</v>
      </c>
    </row>
    <row r="57" spans="1:13">
      <c r="B57" s="1153" t="s">
        <v>1113</v>
      </c>
    </row>
    <row r="60" spans="1:13" ht="22.5" customHeight="1">
      <c r="B60" s="1091" t="s">
        <v>1114</v>
      </c>
      <c r="C60" s="1091"/>
      <c r="D60" s="1092"/>
    </row>
    <row r="61" spans="1:13">
      <c r="B61" s="1153" t="s">
        <v>1115</v>
      </c>
      <c r="C61" s="1153" t="s">
        <v>1116</v>
      </c>
      <c r="D61" s="1152" t="s">
        <v>1117</v>
      </c>
      <c r="E61" s="1152" t="s">
        <v>1118</v>
      </c>
    </row>
    <row r="62" spans="1:13">
      <c r="A62" s="1152" t="s">
        <v>1119</v>
      </c>
      <c r="B62" s="1153">
        <v>12.8</v>
      </c>
      <c r="C62" s="1153">
        <v>12.8</v>
      </c>
      <c r="D62" s="1153">
        <v>12.8</v>
      </c>
      <c r="E62" s="1153">
        <v>12.8</v>
      </c>
      <c r="F62" s="1153" t="s">
        <v>1120</v>
      </c>
    </row>
    <row r="63" spans="1:13">
      <c r="A63" s="1152" t="s">
        <v>1121</v>
      </c>
      <c r="B63" s="1153">
        <v>17</v>
      </c>
      <c r="C63" s="1153">
        <v>19</v>
      </c>
      <c r="D63" s="1152">
        <v>36</v>
      </c>
      <c r="E63" s="1152">
        <v>9</v>
      </c>
      <c r="F63" s="1153" t="s">
        <v>1120</v>
      </c>
    </row>
    <row r="64" spans="1:13">
      <c r="A64" s="1152" t="s">
        <v>1122</v>
      </c>
      <c r="B64" s="1153">
        <v>12.6</v>
      </c>
      <c r="C64" s="1153">
        <v>12.6</v>
      </c>
      <c r="D64" s="1153">
        <v>12.6</v>
      </c>
      <c r="E64" s="1153">
        <v>12.6</v>
      </c>
      <c r="F64" s="1153" t="s">
        <v>1120</v>
      </c>
    </row>
    <row r="65" spans="1:9">
      <c r="B65" s="1175">
        <f>B62*B63*B64</f>
        <v>2741.76</v>
      </c>
      <c r="C65" s="1175">
        <f t="shared" ref="C65:E65" si="7">C62*C63*C64</f>
        <v>3064.32</v>
      </c>
      <c r="D65" s="1175">
        <f t="shared" si="7"/>
        <v>5806.08</v>
      </c>
      <c r="E65" s="1175">
        <f t="shared" si="7"/>
        <v>1451.52</v>
      </c>
      <c r="F65" s="1152" t="s">
        <v>206</v>
      </c>
    </row>
    <row r="66" spans="1:9">
      <c r="B66" s="1176">
        <f>B65*85%</f>
        <v>2330.4960000000001</v>
      </c>
      <c r="C66" s="1176">
        <f t="shared" ref="C66:E66" si="8">C65*85%</f>
        <v>2604.672</v>
      </c>
      <c r="D66" s="1176">
        <f t="shared" si="8"/>
        <v>4935.1679999999997</v>
      </c>
      <c r="E66" s="1176">
        <f t="shared" si="8"/>
        <v>1233.7919999999999</v>
      </c>
      <c r="F66" s="1152" t="s">
        <v>209</v>
      </c>
    </row>
    <row r="69" spans="1:9">
      <c r="B69" s="1177">
        <v>1</v>
      </c>
      <c r="C69" s="1153" t="s">
        <v>1123</v>
      </c>
    </row>
    <row r="70" spans="1:9">
      <c r="B70" s="1153">
        <v>2</v>
      </c>
      <c r="C70" s="1153" t="s">
        <v>1124</v>
      </c>
    </row>
    <row r="72" spans="1:9">
      <c r="A72" s="1152" t="s">
        <v>1127</v>
      </c>
      <c r="G72" s="1164">
        <f>11*25</f>
        <v>275</v>
      </c>
      <c r="H72" s="1152" t="s">
        <v>1125</v>
      </c>
    </row>
    <row r="73" spans="1:9">
      <c r="A73" s="1152" t="s">
        <v>1128</v>
      </c>
      <c r="G73" s="1165">
        <f>25*17</f>
        <v>425</v>
      </c>
      <c r="H73" s="1153" t="s">
        <v>1126</v>
      </c>
    </row>
    <row r="77" spans="1:9" ht="20.25" customHeight="1">
      <c r="B77" s="3908" t="s">
        <v>852</v>
      </c>
      <c r="C77" s="3909"/>
      <c r="D77" s="3909"/>
      <c r="E77" s="3909"/>
    </row>
    <row r="78" spans="1:9" ht="20.25" customHeight="1">
      <c r="B78" s="3910" t="s">
        <v>1529</v>
      </c>
      <c r="C78" s="3910"/>
      <c r="D78" s="3910" t="s">
        <v>1540</v>
      </c>
      <c r="E78" s="3910"/>
      <c r="I78" s="1153"/>
    </row>
    <row r="79" spans="1:9" ht="20.25" customHeight="1">
      <c r="B79" s="3910" t="s">
        <v>1530</v>
      </c>
      <c r="C79" s="3910"/>
      <c r="D79" s="3910" t="s">
        <v>1539</v>
      </c>
      <c r="E79" s="3910"/>
      <c r="I79" s="1153"/>
    </row>
    <row r="80" spans="1:9" ht="20.25" customHeight="1">
      <c r="B80" s="3910" t="s">
        <v>1531</v>
      </c>
      <c r="C80" s="3910"/>
      <c r="D80" s="3910" t="s">
        <v>1534</v>
      </c>
      <c r="E80" s="3910"/>
    </row>
    <row r="81" spans="2:5" ht="20.25" customHeight="1">
      <c r="B81" s="3910" t="s">
        <v>1532</v>
      </c>
      <c r="C81" s="3910"/>
      <c r="D81" s="3910" t="s">
        <v>1536</v>
      </c>
      <c r="E81" s="3910"/>
    </row>
    <row r="82" spans="2:5" ht="20.25" customHeight="1">
      <c r="B82" s="3910" t="s">
        <v>1533</v>
      </c>
      <c r="C82" s="3910"/>
      <c r="D82" s="3910" t="s">
        <v>1535</v>
      </c>
      <c r="E82" s="3910"/>
    </row>
    <row r="83" spans="2:5" ht="20.25" customHeight="1">
      <c r="B83" s="3910" t="s">
        <v>1537</v>
      </c>
      <c r="C83" s="3910"/>
      <c r="D83" s="3910" t="s">
        <v>1538</v>
      </c>
      <c r="E83" s="3910"/>
    </row>
    <row r="85" spans="2:5">
      <c r="B85" s="1153" t="s">
        <v>852</v>
      </c>
      <c r="C85" s="1170"/>
    </row>
    <row r="86" spans="2:5">
      <c r="B86" s="1153" t="s">
        <v>849</v>
      </c>
      <c r="C86" s="1171"/>
    </row>
    <row r="87" spans="2:5">
      <c r="B87" s="1153" t="s">
        <v>850</v>
      </c>
    </row>
    <row r="88" spans="2:5">
      <c r="B88" s="1153" t="s">
        <v>1109</v>
      </c>
    </row>
    <row r="89" spans="2:5">
      <c r="B89" s="1153" t="s">
        <v>851</v>
      </c>
    </row>
    <row r="91" spans="2:5">
      <c r="B91" s="1153" t="s">
        <v>1542</v>
      </c>
    </row>
    <row r="92" spans="2:5">
      <c r="B92" s="1153" t="s">
        <v>1543</v>
      </c>
    </row>
  </sheetData>
  <mergeCells count="24">
    <mergeCell ref="J9:K9"/>
    <mergeCell ref="B8:C8"/>
    <mergeCell ref="D8:E8"/>
    <mergeCell ref="F8:G8"/>
    <mergeCell ref="H8:I8"/>
    <mergeCell ref="J8:K8"/>
    <mergeCell ref="B18:E19"/>
    <mergeCell ref="B9:C9"/>
    <mergeCell ref="D9:E9"/>
    <mergeCell ref="F9:G9"/>
    <mergeCell ref="H9:I9"/>
    <mergeCell ref="B77:E77"/>
    <mergeCell ref="B83:C83"/>
    <mergeCell ref="D83:E83"/>
    <mergeCell ref="B80:C80"/>
    <mergeCell ref="B81:C81"/>
    <mergeCell ref="B82:C82"/>
    <mergeCell ref="D80:E80"/>
    <mergeCell ref="D81:E81"/>
    <mergeCell ref="D82:E82"/>
    <mergeCell ref="B79:C79"/>
    <mergeCell ref="B78:C78"/>
    <mergeCell ref="D78:E78"/>
    <mergeCell ref="D79:E79"/>
  </mergeCells>
  <phoneticPr fontId="7" type="noConversion"/>
  <pageMargins left="0.7" right="0.7" top="0.75" bottom="0.75" header="0.3" footer="0.3"/>
  <pageSetup paperSize="9" orientation="portrait" verticalDpi="0" r:id="rId1"/>
  <drawing r:id="rId2"/>
</worksheet>
</file>

<file path=xl/worksheets/sheet48.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887" customWidth="1"/>
    <col min="2" max="2" width="12.875" style="887" customWidth="1"/>
    <col min="3" max="10" width="12.375" style="887" customWidth="1"/>
    <col min="11" max="16384" width="9" style="887"/>
  </cols>
  <sheetData>
    <row r="1" spans="1:10" ht="32.25" customHeight="1">
      <c r="B1" s="3916" t="s">
        <v>876</v>
      </c>
      <c r="C1" s="3916"/>
      <c r="D1" s="3916"/>
      <c r="E1" s="3916"/>
      <c r="F1" s="3916"/>
      <c r="G1" s="3916"/>
      <c r="H1" s="3916"/>
      <c r="I1" s="3916"/>
      <c r="J1" s="3916"/>
    </row>
    <row r="2" spans="1:10" ht="21" customHeight="1">
      <c r="B2" s="3916" t="s">
        <v>877</v>
      </c>
      <c r="C2" s="3916" t="s">
        <v>878</v>
      </c>
      <c r="D2" s="3916"/>
      <c r="E2" s="3916"/>
      <c r="F2" s="3916"/>
      <c r="G2" s="3916"/>
      <c r="H2" s="3916"/>
      <c r="I2" s="3916"/>
      <c r="J2" s="3916"/>
    </row>
    <row r="3" spans="1:10" ht="21" customHeight="1">
      <c r="B3" s="3916"/>
      <c r="C3" s="888">
        <v>1</v>
      </c>
      <c r="D3" s="888">
        <v>2</v>
      </c>
      <c r="E3" s="888">
        <v>3</v>
      </c>
      <c r="F3" s="888">
        <v>4</v>
      </c>
      <c r="G3" s="888">
        <v>5</v>
      </c>
      <c r="H3" s="888">
        <v>6</v>
      </c>
      <c r="I3" s="888">
        <v>7</v>
      </c>
      <c r="J3" s="888">
        <v>8</v>
      </c>
    </row>
    <row r="4" spans="1:10" ht="21" customHeight="1">
      <c r="A4" s="887" t="s">
        <v>879</v>
      </c>
      <c r="B4" s="889" t="s">
        <v>880</v>
      </c>
      <c r="C4" s="890" t="s">
        <v>881</v>
      </c>
      <c r="D4" s="890" t="s">
        <v>882</v>
      </c>
      <c r="E4" s="890" t="s">
        <v>883</v>
      </c>
      <c r="F4" s="890"/>
      <c r="G4" s="890" t="s">
        <v>884</v>
      </c>
      <c r="H4" s="890" t="s">
        <v>885</v>
      </c>
      <c r="I4" s="890" t="s">
        <v>886</v>
      </c>
      <c r="J4" s="890" t="s">
        <v>887</v>
      </c>
    </row>
    <row r="5" spans="1:10" ht="21" customHeight="1">
      <c r="A5" s="887" t="s">
        <v>879</v>
      </c>
      <c r="B5" s="889" t="s">
        <v>888</v>
      </c>
      <c r="C5" s="890" t="s">
        <v>881</v>
      </c>
      <c r="D5" s="890" t="s">
        <v>882</v>
      </c>
      <c r="E5" s="890" t="s">
        <v>883</v>
      </c>
      <c r="F5" s="890"/>
      <c r="G5" s="890" t="s">
        <v>884</v>
      </c>
      <c r="H5" s="890" t="s">
        <v>885</v>
      </c>
      <c r="I5" s="890" t="s">
        <v>886</v>
      </c>
      <c r="J5" s="890" t="s">
        <v>887</v>
      </c>
    </row>
    <row r="6" spans="1:10" ht="21" customHeight="1">
      <c r="A6" s="887" t="s">
        <v>889</v>
      </c>
      <c r="B6" s="889" t="s">
        <v>890</v>
      </c>
      <c r="C6" s="890" t="s">
        <v>881</v>
      </c>
      <c r="D6" s="890" t="s">
        <v>882</v>
      </c>
      <c r="E6" s="890" t="s">
        <v>883</v>
      </c>
      <c r="F6" s="890"/>
      <c r="G6" s="890" t="s">
        <v>884</v>
      </c>
      <c r="H6" s="890" t="s">
        <v>885</v>
      </c>
      <c r="I6" s="890" t="s">
        <v>886</v>
      </c>
      <c r="J6" s="890" t="s">
        <v>887</v>
      </c>
    </row>
    <row r="7" spans="1:10" ht="21" customHeight="1">
      <c r="A7" s="887" t="s">
        <v>891</v>
      </c>
      <c r="B7" s="889" t="s">
        <v>892</v>
      </c>
      <c r="C7" s="890" t="s">
        <v>881</v>
      </c>
      <c r="D7" s="891"/>
      <c r="E7" s="890" t="s">
        <v>883</v>
      </c>
      <c r="F7" s="890" t="s">
        <v>893</v>
      </c>
      <c r="G7" s="890" t="s">
        <v>884</v>
      </c>
      <c r="H7" s="890"/>
      <c r="I7" s="890" t="s">
        <v>886</v>
      </c>
      <c r="J7" s="890" t="s">
        <v>887</v>
      </c>
    </row>
    <row r="8" spans="1:10" ht="21" customHeight="1">
      <c r="A8" s="887" t="s">
        <v>891</v>
      </c>
      <c r="B8" s="889" t="s">
        <v>894</v>
      </c>
      <c r="C8" s="890" t="s">
        <v>881</v>
      </c>
      <c r="D8" s="891"/>
      <c r="E8" s="890" t="s">
        <v>883</v>
      </c>
      <c r="F8" s="890" t="s">
        <v>893</v>
      </c>
      <c r="G8" s="890" t="s">
        <v>884</v>
      </c>
      <c r="H8" s="890"/>
      <c r="I8" s="890" t="s">
        <v>886</v>
      </c>
      <c r="J8" s="890" t="s">
        <v>887</v>
      </c>
    </row>
    <row r="9" spans="1:10" ht="21" customHeight="1">
      <c r="A9" s="887" t="s">
        <v>891</v>
      </c>
      <c r="B9" s="889" t="s">
        <v>895</v>
      </c>
      <c r="C9" s="890" t="s">
        <v>881</v>
      </c>
      <c r="D9" s="891"/>
      <c r="E9" s="890" t="s">
        <v>883</v>
      </c>
      <c r="F9" s="890" t="s">
        <v>893</v>
      </c>
      <c r="G9" s="890" t="s">
        <v>884</v>
      </c>
      <c r="H9" s="890"/>
      <c r="I9" s="890" t="s">
        <v>886</v>
      </c>
      <c r="J9" s="890" t="s">
        <v>887</v>
      </c>
    </row>
    <row r="10" spans="1:10" ht="21" customHeight="1">
      <c r="A10" s="887" t="s">
        <v>896</v>
      </c>
      <c r="B10" s="889" t="s">
        <v>897</v>
      </c>
      <c r="C10" s="890" t="s">
        <v>881</v>
      </c>
      <c r="D10" s="890"/>
      <c r="E10" s="890"/>
      <c r="F10" s="890"/>
      <c r="G10" s="890" t="s">
        <v>884</v>
      </c>
      <c r="H10" s="890"/>
      <c r="I10" s="890"/>
      <c r="J10" s="890"/>
    </row>
    <row r="11" spans="1:10" ht="21" customHeight="1">
      <c r="A11" s="887" t="s">
        <v>898</v>
      </c>
      <c r="B11" s="889" t="s">
        <v>899</v>
      </c>
      <c r="C11" s="890" t="s">
        <v>881</v>
      </c>
      <c r="D11" s="890"/>
      <c r="E11" s="890"/>
      <c r="F11" s="890" t="s">
        <v>893</v>
      </c>
      <c r="G11" s="890"/>
      <c r="H11" s="890"/>
      <c r="I11" s="890"/>
      <c r="J11" s="890"/>
    </row>
  </sheetData>
  <mergeCells count="3">
    <mergeCell ref="B1:J1"/>
    <mergeCell ref="B2:B3"/>
    <mergeCell ref="C2:J2"/>
  </mergeCells>
  <phoneticPr fontId="7" type="noConversion"/>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11" customWidth="1"/>
    <col min="2" max="2" width="13" style="311" customWidth="1"/>
    <col min="3" max="3" width="33.125" style="311" customWidth="1"/>
    <col min="4" max="5" width="12.625" style="311" customWidth="1"/>
    <col min="6" max="6" width="27.5" style="311" customWidth="1"/>
    <col min="7" max="7" width="12.5" style="789" bestFit="1" customWidth="1"/>
    <col min="8" max="8" width="12.5" style="789" customWidth="1"/>
    <col min="9" max="9" width="12.5" style="790" customWidth="1"/>
    <col min="10" max="10" width="13.375" style="789" bestFit="1" customWidth="1"/>
    <col min="11" max="11" width="13.375" style="789" customWidth="1"/>
    <col min="12" max="12" width="13.375" style="790" customWidth="1"/>
    <col min="13" max="13" width="13.375" style="789" bestFit="1" customWidth="1"/>
    <col min="14" max="14" width="13.375" style="789" customWidth="1"/>
    <col min="15" max="15" width="13.375" style="790" customWidth="1"/>
    <col min="16" max="16" width="15.125" style="789" customWidth="1"/>
    <col min="17" max="17" width="11.75" style="789" customWidth="1"/>
    <col min="18" max="18" width="10.125" style="790" customWidth="1"/>
    <col min="19" max="19" width="10.125" style="789" bestFit="1" customWidth="1"/>
    <col min="20" max="20" width="10.125" style="312" customWidth="1"/>
    <col min="21" max="21" width="10.125" style="308" customWidth="1"/>
    <col min="22" max="22" width="10.125" style="789" bestFit="1" customWidth="1"/>
    <col min="23" max="23" width="10.125" style="312" customWidth="1"/>
    <col min="24" max="24" width="10.125" style="308" customWidth="1"/>
    <col min="25" max="25" width="9" style="308"/>
    <col min="26" max="37" width="9" style="308" hidden="1" customWidth="1"/>
    <col min="38" max="16384" width="9" style="308"/>
  </cols>
  <sheetData>
    <row r="1" spans="1:49" ht="71.45" customHeight="1">
      <c r="A1" s="767" t="s">
        <v>316</v>
      </c>
      <c r="B1" s="767"/>
      <c r="C1" s="767"/>
      <c r="D1" s="767"/>
      <c r="E1" s="767"/>
      <c r="F1" s="767"/>
      <c r="G1" s="785"/>
      <c r="H1" s="785"/>
      <c r="I1" s="785"/>
      <c r="J1" s="785"/>
      <c r="K1" s="785"/>
      <c r="L1" s="785"/>
      <c r="M1" s="785"/>
      <c r="N1" s="785"/>
      <c r="O1" s="785"/>
      <c r="P1" s="785"/>
      <c r="Q1" s="785"/>
      <c r="R1" s="785"/>
      <c r="S1" s="785"/>
      <c r="T1" s="767"/>
      <c r="U1" s="767"/>
      <c r="V1" s="785"/>
      <c r="W1" s="768"/>
      <c r="X1" s="769"/>
    </row>
    <row r="2" spans="1:49" s="313" customFormat="1" ht="15">
      <c r="A2" s="310" t="s">
        <v>317</v>
      </c>
      <c r="B2" s="310" t="s">
        <v>318</v>
      </c>
      <c r="C2" s="310" t="s">
        <v>319</v>
      </c>
      <c r="D2" s="310" t="s">
        <v>320</v>
      </c>
      <c r="E2" s="310" t="s">
        <v>321</v>
      </c>
      <c r="F2" s="310" t="s">
        <v>322</v>
      </c>
      <c r="G2" s="786" t="s">
        <v>323</v>
      </c>
      <c r="H2" s="786" t="s">
        <v>324</v>
      </c>
      <c r="I2" s="787" t="s">
        <v>325</v>
      </c>
      <c r="J2" s="786" t="s">
        <v>326</v>
      </c>
      <c r="K2" s="786" t="s">
        <v>327</v>
      </c>
      <c r="L2" s="787" t="s">
        <v>328</v>
      </c>
      <c r="M2" s="786" t="s">
        <v>329</v>
      </c>
      <c r="N2" s="786" t="s">
        <v>330</v>
      </c>
      <c r="O2" s="787" t="s">
        <v>331</v>
      </c>
      <c r="P2" s="786" t="s">
        <v>332</v>
      </c>
      <c r="Q2" s="786" t="s">
        <v>333</v>
      </c>
      <c r="R2" s="787" t="s">
        <v>334</v>
      </c>
      <c r="S2" s="786" t="s">
        <v>335</v>
      </c>
      <c r="T2" s="309" t="s">
        <v>336</v>
      </c>
      <c r="U2" s="310" t="s">
        <v>337</v>
      </c>
      <c r="V2" s="786" t="s">
        <v>338</v>
      </c>
      <c r="W2" s="309" t="s">
        <v>339</v>
      </c>
      <c r="X2" s="310" t="s">
        <v>340</v>
      </c>
      <c r="Z2" s="780">
        <v>1</v>
      </c>
      <c r="AA2" s="780" t="s">
        <v>828</v>
      </c>
      <c r="AB2" s="780">
        <v>2</v>
      </c>
      <c r="AC2" s="780" t="s">
        <v>828</v>
      </c>
      <c r="AD2" s="780">
        <v>3</v>
      </c>
      <c r="AE2" s="780" t="s">
        <v>828</v>
      </c>
      <c r="AF2" s="780">
        <v>4</v>
      </c>
      <c r="AG2" s="780" t="s">
        <v>828</v>
      </c>
      <c r="AH2" s="780">
        <v>5</v>
      </c>
      <c r="AI2" s="780" t="s">
        <v>828</v>
      </c>
      <c r="AJ2" s="780">
        <v>6</v>
      </c>
      <c r="AK2" s="780" t="s">
        <v>828</v>
      </c>
      <c r="AL2" s="797">
        <v>1</v>
      </c>
      <c r="AM2" s="797" t="s">
        <v>828</v>
      </c>
      <c r="AN2" s="797">
        <v>2</v>
      </c>
      <c r="AO2" s="797" t="s">
        <v>828</v>
      </c>
      <c r="AP2" s="797">
        <v>3</v>
      </c>
      <c r="AQ2" s="797" t="s">
        <v>828</v>
      </c>
      <c r="AR2" s="797">
        <v>4</v>
      </c>
      <c r="AS2" s="797" t="s">
        <v>828</v>
      </c>
      <c r="AT2" s="797">
        <v>5</v>
      </c>
      <c r="AU2" s="797" t="s">
        <v>828</v>
      </c>
      <c r="AV2" s="797">
        <v>6</v>
      </c>
      <c r="AW2" s="797" t="s">
        <v>828</v>
      </c>
    </row>
    <row r="3" spans="1:49" s="313" customFormat="1" ht="15">
      <c r="A3" s="310" t="s">
        <v>341</v>
      </c>
      <c r="B3" s="310" t="s">
        <v>342</v>
      </c>
      <c r="C3" s="310" t="s">
        <v>343</v>
      </c>
      <c r="D3" s="310" t="s">
        <v>344</v>
      </c>
      <c r="E3" s="310" t="s">
        <v>345</v>
      </c>
      <c r="F3" s="310" t="s">
        <v>346</v>
      </c>
      <c r="G3" s="786" t="s">
        <v>347</v>
      </c>
      <c r="H3" s="786" t="s">
        <v>348</v>
      </c>
      <c r="I3" s="787" t="s">
        <v>1</v>
      </c>
      <c r="J3" s="786" t="s">
        <v>349</v>
      </c>
      <c r="K3" s="786"/>
      <c r="L3" s="787" t="s">
        <v>1</v>
      </c>
      <c r="M3" s="786" t="s">
        <v>350</v>
      </c>
      <c r="N3" s="786"/>
      <c r="O3" s="787" t="s">
        <v>1</v>
      </c>
      <c r="P3" s="786" t="s">
        <v>351</v>
      </c>
      <c r="Q3" s="786"/>
      <c r="R3" s="787" t="s">
        <v>1</v>
      </c>
      <c r="S3" s="786" t="s">
        <v>352</v>
      </c>
      <c r="T3" s="309"/>
      <c r="U3" s="310" t="s">
        <v>1</v>
      </c>
      <c r="V3" s="786" t="s">
        <v>353</v>
      </c>
      <c r="W3" s="309"/>
      <c r="X3" s="310" t="s">
        <v>1</v>
      </c>
    </row>
    <row r="4" spans="1:49" s="315" customFormat="1">
      <c r="A4" s="831" t="str">
        <f>'1. XL-1E kh'!G3</f>
        <v>Ca 1,</v>
      </c>
      <c r="B4" s="314" t="s">
        <v>237</v>
      </c>
      <c r="C4" s="314" t="str">
        <f t="shared" ref="C4:C33" si="0">IFERROR(VLOOKUP($B4,_XM_XT_THUCTE,3,0),"")</f>
        <v xml:space="preserve">Xà bông (1)脫脂 </v>
      </c>
      <c r="D4" s="314" t="str">
        <f t="shared" ref="D4:D33" si="1">IFERROR(VLOOKUP($B4,_XM_XT_THUCTE,2,0),"")</f>
        <v>XL-001E</v>
      </c>
      <c r="E4" s="314" t="str">
        <f t="shared" ref="E4:E33" si="2">IFERROR(VLOOKUP($B4,_XM_XT_THUCTE,4,0),"")</f>
        <v>g/L</v>
      </c>
      <c r="F4" s="314" t="str">
        <f t="shared" ref="F4:F33" si="3">IFERROR(VLOOKUP($B4,_XM_XT_THUCTE,5,0),"")</f>
        <v>20~40</v>
      </c>
      <c r="G4" s="783">
        <f t="shared" ref="G4:G33" si="4">IFERROR(VLOOKUP($B4,_XM_XT_THUCTE,8,0),"")</f>
        <v>0</v>
      </c>
      <c r="H4" s="783" t="str">
        <f t="shared" ref="H4:H33" si="5">IFERROR(VLOOKUP($B4,_XM_XT_THUCTE,11,0),"")</f>
        <v>+</v>
      </c>
      <c r="I4" s="788">
        <f t="shared" ref="I4:I33" si="6">IFERROR(VLOOKUP($B4,_XM_XT_THUCTE,12,0),"")</f>
        <v>0</v>
      </c>
      <c r="J4" s="783" t="str">
        <f t="shared" ref="J4:J44" si="7">IFERROR(VLOOKUP($B4,_XM_XT_THUCTE,14,0),"")</f>
        <v>kg</v>
      </c>
      <c r="K4" s="783">
        <f t="shared" ref="K4:K33" si="8">IFERROR(VLOOKUP($B4,_XM_XT_THUCTE,17,0),"")</f>
        <v>9.1561999999999948</v>
      </c>
      <c r="L4" s="788" t="str">
        <f t="shared" ref="L4:L33" si="9">IFERROR(VLOOKUP($B4,_XM_XT_THUCTE,18,0),"")</f>
        <v>+</v>
      </c>
      <c r="M4" s="783" t="str">
        <f t="shared" ref="M4:M33" si="10">IFERROR(VLOOKUP($B4,_XM_XT_THUCTE,20,0),"")</f>
        <v/>
      </c>
      <c r="N4" s="783">
        <f t="shared" ref="N4:N33" si="11">IFERROR(VLOOKUP($B4,_XM_XT_THUCTE,23,0),"")</f>
        <v>32.799999999999997</v>
      </c>
      <c r="O4" s="788">
        <f t="shared" ref="O4:O33" si="12">IFERROR(VLOOKUP($B4,_XM_XT_THUCTE,24,0),"")</f>
        <v>-7.540399999999992</v>
      </c>
      <c r="P4" s="783">
        <f t="shared" ref="P4:P33" si="13">IFERROR(VLOOKUP($B4,_XM_XT_THUCTE,26,0),"")</f>
        <v>0</v>
      </c>
      <c r="Q4" s="783">
        <f t="shared" ref="Q4:Q33" si="14">IFERROR(VLOOKUP($B4,_XM_XT_THUCTE,29,0),"")</f>
        <v>8.4</v>
      </c>
      <c r="R4" s="788">
        <f t="shared" ref="R4:R33" si="15">IFERROR(VLOOKUP($B4,_XM_XT_THUCTE,30,0),"")</f>
        <v>33.6</v>
      </c>
      <c r="S4" s="783" t="str">
        <f t="shared" ref="S4:S33" si="16">IFERROR(VLOOKUP($B4,_XM_XT_THUCTE,32,0),"")</f>
        <v>+</v>
      </c>
      <c r="T4" s="776" t="str">
        <f t="shared" ref="T4:T33" si="17">IFERROR(VLOOKUP($B4,_XM_XT_THUCTE,35,0),"")</f>
        <v>kg</v>
      </c>
      <c r="U4" s="777">
        <f t="shared" ref="U4:U33" si="18">IFERROR(VLOOKUP($B4,_XM_XT_THUCTE,36,0),"")</f>
        <v>8</v>
      </c>
      <c r="V4" s="783">
        <f t="shared" ref="V4:V33" si="19">IFERROR(VLOOKUP($B4,_XM_XT_THUCTE,38,0),"")</f>
        <v>-5.3860000000000001</v>
      </c>
      <c r="W4" s="776" t="str">
        <f t="shared" ref="W4:W33" si="20">IFERROR(VLOOKUP($B4,_XM_XT_THUCTE,41,0),"")</f>
        <v/>
      </c>
      <c r="X4" s="777" t="str">
        <f t="shared" ref="X4:X33" si="21">IFERROR(VLOOKUP($B4,_XM_XT_THUCTE,42,0),"")</f>
        <v>kg</v>
      </c>
      <c r="Z4" s="315" t="b">
        <f>ISNUMBER(G4)</f>
        <v>1</v>
      </c>
      <c r="AA4" s="315" t="b">
        <f>ISNUMBER(H4)</f>
        <v>0</v>
      </c>
      <c r="AB4" s="315" t="b">
        <f>ISNUMBER(J4)</f>
        <v>0</v>
      </c>
      <c r="AC4" s="315" t="b">
        <f>ISNUMBER(K4)</f>
        <v>1</v>
      </c>
      <c r="AD4" s="315" t="b">
        <f>ISNUMBER(M4)</f>
        <v>0</v>
      </c>
      <c r="AE4" s="315" t="b">
        <f>ISNUMBER(N4)</f>
        <v>1</v>
      </c>
      <c r="AF4" s="315" t="b">
        <f>ISNUMBER(P4)</f>
        <v>1</v>
      </c>
      <c r="AG4" s="315" t="b">
        <f>ISNUMBER(Q4)</f>
        <v>1</v>
      </c>
      <c r="AH4" s="315" t="b">
        <f>ISNUMBER(S4)</f>
        <v>0</v>
      </c>
      <c r="AI4" s="315" t="b">
        <f>ISNUMBER(T4)</f>
        <v>0</v>
      </c>
      <c r="AJ4" s="315" t="b">
        <f>ISNUMBER(V4)</f>
        <v>1</v>
      </c>
      <c r="AK4" s="315" t="b">
        <f>ISNUMBER(W4)</f>
        <v>0</v>
      </c>
      <c r="AL4" s="807" t="str">
        <f t="shared" ref="AL4:AW4" si="22">IF(Z4=TRUE,"",1)</f>
        <v/>
      </c>
      <c r="AM4" s="808">
        <f t="shared" si="22"/>
        <v>1</v>
      </c>
      <c r="AN4" s="808">
        <f t="shared" si="22"/>
        <v>1</v>
      </c>
      <c r="AO4" s="808" t="str">
        <f t="shared" si="22"/>
        <v/>
      </c>
      <c r="AP4" s="808">
        <f t="shared" si="22"/>
        <v>1</v>
      </c>
      <c r="AQ4" s="808" t="str">
        <f t="shared" si="22"/>
        <v/>
      </c>
      <c r="AR4" s="808" t="str">
        <f t="shared" si="22"/>
        <v/>
      </c>
      <c r="AS4" s="808" t="str">
        <f t="shared" si="22"/>
        <v/>
      </c>
      <c r="AT4" s="808">
        <f t="shared" si="22"/>
        <v>1</v>
      </c>
      <c r="AU4" s="808">
        <f t="shared" si="22"/>
        <v>1</v>
      </c>
      <c r="AV4" s="808" t="str">
        <f t="shared" si="22"/>
        <v/>
      </c>
      <c r="AW4" s="813">
        <f t="shared" si="22"/>
        <v>1</v>
      </c>
    </row>
    <row r="5" spans="1:49" s="315" customFormat="1">
      <c r="A5" s="794" t="str">
        <f>IF(B5="","",$A$4)</f>
        <v>Ca 1,</v>
      </c>
      <c r="B5" s="314" t="s">
        <v>238</v>
      </c>
      <c r="C5" s="314" t="str">
        <f t="shared" si="0"/>
        <v xml:space="preserve">Xà bông (2)脫脂 </v>
      </c>
      <c r="D5" s="314" t="str">
        <f t="shared" si="1"/>
        <v>XL-001E</v>
      </c>
      <c r="E5" s="314" t="str">
        <f t="shared" si="2"/>
        <v>g/L</v>
      </c>
      <c r="F5" s="314" t="str">
        <f t="shared" si="3"/>
        <v>20~40</v>
      </c>
      <c r="G5" s="783">
        <f t="shared" si="4"/>
        <v>0</v>
      </c>
      <c r="H5" s="783" t="str">
        <f t="shared" si="5"/>
        <v>+</v>
      </c>
      <c r="I5" s="788">
        <f t="shared" si="6"/>
        <v>0</v>
      </c>
      <c r="J5" s="783" t="str">
        <f t="shared" si="7"/>
        <v>kg</v>
      </c>
      <c r="K5" s="783">
        <f t="shared" si="8"/>
        <v>-3.3050000000000002</v>
      </c>
      <c r="L5" s="788" t="str">
        <f t="shared" si="9"/>
        <v>+</v>
      </c>
      <c r="M5" s="783" t="str">
        <f t="shared" si="10"/>
        <v/>
      </c>
      <c r="N5" s="783">
        <f t="shared" si="11"/>
        <v>30.2</v>
      </c>
      <c r="O5" s="788">
        <f t="shared" si="12"/>
        <v>-0.66099999999999759</v>
      </c>
      <c r="P5" s="783">
        <f t="shared" si="13"/>
        <v>0</v>
      </c>
      <c r="Q5" s="783">
        <f t="shared" si="14"/>
        <v>7.8</v>
      </c>
      <c r="R5" s="788">
        <f t="shared" si="15"/>
        <v>31.2</v>
      </c>
      <c r="S5" s="783" t="str">
        <f t="shared" si="16"/>
        <v>+</v>
      </c>
      <c r="T5" s="776" t="str">
        <f t="shared" si="17"/>
        <v>kg</v>
      </c>
      <c r="U5" s="777">
        <f t="shared" si="18"/>
        <v>8</v>
      </c>
      <c r="V5" s="783">
        <f t="shared" si="19"/>
        <v>-6.61</v>
      </c>
      <c r="W5" s="776" t="str">
        <f t="shared" si="20"/>
        <v/>
      </c>
      <c r="X5" s="777" t="str">
        <f t="shared" si="21"/>
        <v>kg</v>
      </c>
      <c r="Z5" s="315" t="b">
        <f t="shared" ref="Z5:Z68" si="23">ISNUMBER(G5)</f>
        <v>1</v>
      </c>
      <c r="AA5" s="315" t="b">
        <f t="shared" ref="AA5:AA68" si="24">ISNUMBER(H5)</f>
        <v>0</v>
      </c>
      <c r="AB5" s="315" t="b">
        <f t="shared" ref="AB5:AB68" si="25">ISNUMBER(J5)</f>
        <v>0</v>
      </c>
      <c r="AC5" s="315" t="b">
        <f t="shared" ref="AC5:AC68" si="26">ISNUMBER(K5)</f>
        <v>1</v>
      </c>
      <c r="AD5" s="315" t="b">
        <f t="shared" ref="AD5:AD68" si="27">ISNUMBER(M5)</f>
        <v>0</v>
      </c>
      <c r="AE5" s="315" t="b">
        <f t="shared" ref="AE5:AE68" si="28">ISNUMBER(N5)</f>
        <v>1</v>
      </c>
      <c r="AF5" s="315" t="b">
        <f t="shared" ref="AF5:AF68" si="29">ISNUMBER(P5)</f>
        <v>1</v>
      </c>
      <c r="AG5" s="315" t="b">
        <f t="shared" ref="AG5:AG68" si="30">ISNUMBER(Q5)</f>
        <v>1</v>
      </c>
      <c r="AH5" s="315" t="b">
        <f t="shared" ref="AH5:AH68" si="31">ISNUMBER(S5)</f>
        <v>0</v>
      </c>
      <c r="AI5" s="315" t="b">
        <f t="shared" ref="AI5:AI68" si="32">ISNUMBER(T5)</f>
        <v>0</v>
      </c>
      <c r="AJ5" s="315" t="b">
        <f t="shared" ref="AJ5:AJ68" si="33">ISNUMBER(V5)</f>
        <v>1</v>
      </c>
      <c r="AK5" s="315" t="b">
        <f t="shared" ref="AK5:AK68" si="34">ISNUMBER(W5)</f>
        <v>0</v>
      </c>
      <c r="AL5" s="809" t="str">
        <f t="shared" ref="AL5:AL68" si="35">IF(Z5=TRUE,"",1)</f>
        <v/>
      </c>
      <c r="AM5" s="810">
        <f t="shared" ref="AM5:AM68" si="36">IF(AA5=TRUE,"",1)</f>
        <v>1</v>
      </c>
      <c r="AN5" s="810">
        <f t="shared" ref="AN5:AN68" si="37">IF(AB5=TRUE,"",1)</f>
        <v>1</v>
      </c>
      <c r="AO5" s="810" t="str">
        <f t="shared" ref="AO5:AO68" si="38">IF(AC5=TRUE,"",1)</f>
        <v/>
      </c>
      <c r="AP5" s="810">
        <f t="shared" ref="AP5:AP68" si="39">IF(AD5=TRUE,"",1)</f>
        <v>1</v>
      </c>
      <c r="AQ5" s="810" t="str">
        <f t="shared" ref="AQ5:AQ68" si="40">IF(AE5=TRUE,"",1)</f>
        <v/>
      </c>
      <c r="AR5" s="810" t="str">
        <f t="shared" ref="AR5:AR68" si="41">IF(AF5=TRUE,"",1)</f>
        <v/>
      </c>
      <c r="AS5" s="810" t="str">
        <f t="shared" ref="AS5:AS68" si="42">IF(AG5=TRUE,"",1)</f>
        <v/>
      </c>
      <c r="AT5" s="810">
        <f t="shared" ref="AT5:AT68" si="43">IF(AH5=TRUE,"",1)</f>
        <v>1</v>
      </c>
      <c r="AU5" s="810">
        <f t="shared" ref="AU5:AU68" si="44">IF(AI5=TRUE,"",1)</f>
        <v>1</v>
      </c>
      <c r="AV5" s="810" t="str">
        <f t="shared" ref="AV5:AW68" si="45">IF(AJ5=TRUE,"",1)</f>
        <v/>
      </c>
      <c r="AW5" s="814">
        <f t="shared" si="45"/>
        <v>1</v>
      </c>
    </row>
    <row r="6" spans="1:49" s="315" customFormat="1">
      <c r="A6" s="794" t="str">
        <f t="shared" ref="A6:A61" si="46">IF(B6="","",$A$4)</f>
        <v>Ca 1,</v>
      </c>
      <c r="B6" s="314" t="s">
        <v>239</v>
      </c>
      <c r="C6" s="314" t="str">
        <f t="shared" si="0"/>
        <v xml:space="preserve">điện giải(1)+電解  </v>
      </c>
      <c r="D6" s="314" t="str">
        <f t="shared" si="1"/>
        <v>XL-001E</v>
      </c>
      <c r="E6" s="314" t="str">
        <f t="shared" si="2"/>
        <v>g/L</v>
      </c>
      <c r="F6" s="314" t="str">
        <f t="shared" si="3"/>
        <v>60~80</v>
      </c>
      <c r="G6" s="783">
        <f t="shared" si="4"/>
        <v>0</v>
      </c>
      <c r="H6" s="783" t="str">
        <f t="shared" si="5"/>
        <v>+</v>
      </c>
      <c r="I6" s="788">
        <f t="shared" si="6"/>
        <v>0</v>
      </c>
      <c r="J6" s="783" t="str">
        <f t="shared" si="7"/>
        <v>kg</v>
      </c>
      <c r="K6" s="783">
        <f t="shared" si="8"/>
        <v>-8.0920000000000005</v>
      </c>
      <c r="L6" s="788" t="str">
        <f t="shared" si="9"/>
        <v>+</v>
      </c>
      <c r="M6" s="783" t="str">
        <f t="shared" si="10"/>
        <v/>
      </c>
      <c r="N6" s="783">
        <f t="shared" si="11"/>
        <v>78</v>
      </c>
      <c r="O6" s="788">
        <f t="shared" si="12"/>
        <v>-9.2479999999999993</v>
      </c>
      <c r="P6" s="783">
        <f t="shared" si="13"/>
        <v>0</v>
      </c>
      <c r="Q6" s="783">
        <f t="shared" si="14"/>
        <v>18.8</v>
      </c>
      <c r="R6" s="788">
        <f t="shared" si="15"/>
        <v>75.2</v>
      </c>
      <c r="S6" s="783" t="str">
        <f t="shared" si="16"/>
        <v>+</v>
      </c>
      <c r="T6" s="776" t="str">
        <f t="shared" si="17"/>
        <v>kg</v>
      </c>
      <c r="U6" s="777">
        <f t="shared" si="18"/>
        <v>19.8</v>
      </c>
      <c r="V6" s="783">
        <f t="shared" si="19"/>
        <v>-10.635200000000003</v>
      </c>
      <c r="W6" s="776" t="str">
        <f t="shared" si="20"/>
        <v/>
      </c>
      <c r="X6" s="777" t="str">
        <f t="shared" si="21"/>
        <v>kg</v>
      </c>
      <c r="Z6" s="315" t="b">
        <f t="shared" si="23"/>
        <v>1</v>
      </c>
      <c r="AA6" s="315" t="b">
        <f t="shared" si="24"/>
        <v>0</v>
      </c>
      <c r="AB6" s="315" t="b">
        <f t="shared" si="25"/>
        <v>0</v>
      </c>
      <c r="AC6" s="315" t="b">
        <f t="shared" si="26"/>
        <v>1</v>
      </c>
      <c r="AD6" s="315" t="b">
        <f t="shared" si="27"/>
        <v>0</v>
      </c>
      <c r="AE6" s="315" t="b">
        <f t="shared" si="28"/>
        <v>1</v>
      </c>
      <c r="AF6" s="315" t="b">
        <f t="shared" si="29"/>
        <v>1</v>
      </c>
      <c r="AG6" s="315" t="b">
        <f t="shared" si="30"/>
        <v>1</v>
      </c>
      <c r="AH6" s="315" t="b">
        <f t="shared" si="31"/>
        <v>0</v>
      </c>
      <c r="AI6" s="315" t="b">
        <f t="shared" si="32"/>
        <v>0</v>
      </c>
      <c r="AJ6" s="315" t="b">
        <f t="shared" si="33"/>
        <v>1</v>
      </c>
      <c r="AK6" s="315" t="b">
        <f t="shared" si="34"/>
        <v>0</v>
      </c>
      <c r="AL6" s="809" t="str">
        <f t="shared" si="35"/>
        <v/>
      </c>
      <c r="AM6" s="810">
        <f t="shared" si="36"/>
        <v>1</v>
      </c>
      <c r="AN6" s="810">
        <f t="shared" si="37"/>
        <v>1</v>
      </c>
      <c r="AO6" s="810" t="str">
        <f t="shared" si="38"/>
        <v/>
      </c>
      <c r="AP6" s="810">
        <f t="shared" si="39"/>
        <v>1</v>
      </c>
      <c r="AQ6" s="810" t="str">
        <f t="shared" si="40"/>
        <v/>
      </c>
      <c r="AR6" s="810" t="str">
        <f t="shared" si="41"/>
        <v/>
      </c>
      <c r="AS6" s="810" t="str">
        <f t="shared" si="42"/>
        <v/>
      </c>
      <c r="AT6" s="810">
        <f t="shared" si="43"/>
        <v>1</v>
      </c>
      <c r="AU6" s="810">
        <f t="shared" si="44"/>
        <v>1</v>
      </c>
      <c r="AV6" s="810" t="str">
        <f t="shared" si="45"/>
        <v/>
      </c>
      <c r="AW6" s="814">
        <f t="shared" si="45"/>
        <v>1</v>
      </c>
    </row>
    <row r="7" spans="1:49" s="315" customFormat="1">
      <c r="A7" s="794" t="str">
        <f t="shared" si="46"/>
        <v>Ca 1,</v>
      </c>
      <c r="B7" s="314" t="s">
        <v>240</v>
      </c>
      <c r="C7" s="314" t="str">
        <f t="shared" si="0"/>
        <v xml:space="preserve">điện giải (2)+電解  </v>
      </c>
      <c r="D7" s="314" t="str">
        <f t="shared" si="1"/>
        <v>XL-001E</v>
      </c>
      <c r="E7" s="314" t="str">
        <f t="shared" si="2"/>
        <v>g/L</v>
      </c>
      <c r="F7" s="314" t="str">
        <f t="shared" si="3"/>
        <v>60~80</v>
      </c>
      <c r="G7" s="783">
        <f t="shared" si="4"/>
        <v>0</v>
      </c>
      <c r="H7" s="783" t="str">
        <f t="shared" si="5"/>
        <v>+</v>
      </c>
      <c r="I7" s="788">
        <f t="shared" si="6"/>
        <v>0</v>
      </c>
      <c r="J7" s="783" t="str">
        <f t="shared" si="7"/>
        <v>kg</v>
      </c>
      <c r="K7" s="783">
        <f t="shared" si="8"/>
        <v>-3.7933999999999921</v>
      </c>
      <c r="L7" s="788" t="str">
        <f t="shared" si="9"/>
        <v>+</v>
      </c>
      <c r="M7" s="783" t="str">
        <f t="shared" si="10"/>
        <v/>
      </c>
      <c r="N7" s="783">
        <f t="shared" si="11"/>
        <v>72.400000000000006</v>
      </c>
      <c r="O7" s="788">
        <f t="shared" si="12"/>
        <v>-3.5016000000000083</v>
      </c>
      <c r="P7" s="783">
        <f t="shared" si="13"/>
        <v>0</v>
      </c>
      <c r="Q7" s="783">
        <f t="shared" si="14"/>
        <v>17.3</v>
      </c>
      <c r="R7" s="788">
        <f t="shared" si="15"/>
        <v>69.2</v>
      </c>
      <c r="S7" s="783" t="str">
        <f t="shared" si="16"/>
        <v>+</v>
      </c>
      <c r="T7" s="776" t="str">
        <f t="shared" si="17"/>
        <v>kg</v>
      </c>
      <c r="U7" s="777">
        <f t="shared" si="18"/>
        <v>17</v>
      </c>
      <c r="V7" s="783">
        <f t="shared" si="19"/>
        <v>2.9180000000000001</v>
      </c>
      <c r="W7" s="776" t="str">
        <f t="shared" si="20"/>
        <v/>
      </c>
      <c r="X7" s="777" t="str">
        <f t="shared" si="21"/>
        <v>kg</v>
      </c>
      <c r="Z7" s="315" t="b">
        <f t="shared" si="23"/>
        <v>1</v>
      </c>
      <c r="AA7" s="315" t="b">
        <f t="shared" si="24"/>
        <v>0</v>
      </c>
      <c r="AB7" s="315" t="b">
        <f t="shared" si="25"/>
        <v>0</v>
      </c>
      <c r="AC7" s="315" t="b">
        <f t="shared" si="26"/>
        <v>1</v>
      </c>
      <c r="AD7" s="315" t="b">
        <f t="shared" si="27"/>
        <v>0</v>
      </c>
      <c r="AE7" s="315" t="b">
        <f t="shared" si="28"/>
        <v>1</v>
      </c>
      <c r="AF7" s="315" t="b">
        <f t="shared" si="29"/>
        <v>1</v>
      </c>
      <c r="AG7" s="315" t="b">
        <f t="shared" si="30"/>
        <v>1</v>
      </c>
      <c r="AH7" s="315" t="b">
        <f t="shared" si="31"/>
        <v>0</v>
      </c>
      <c r="AI7" s="315" t="b">
        <f t="shared" si="32"/>
        <v>0</v>
      </c>
      <c r="AJ7" s="315" t="b">
        <f t="shared" si="33"/>
        <v>1</v>
      </c>
      <c r="AK7" s="315" t="b">
        <f t="shared" si="34"/>
        <v>0</v>
      </c>
      <c r="AL7" s="809" t="str">
        <f t="shared" si="35"/>
        <v/>
      </c>
      <c r="AM7" s="810">
        <f t="shared" si="36"/>
        <v>1</v>
      </c>
      <c r="AN7" s="810">
        <f t="shared" si="37"/>
        <v>1</v>
      </c>
      <c r="AO7" s="810" t="str">
        <f t="shared" si="38"/>
        <v/>
      </c>
      <c r="AP7" s="810">
        <f t="shared" si="39"/>
        <v>1</v>
      </c>
      <c r="AQ7" s="810" t="str">
        <f t="shared" si="40"/>
        <v/>
      </c>
      <c r="AR7" s="810" t="str">
        <f t="shared" si="41"/>
        <v/>
      </c>
      <c r="AS7" s="810" t="str">
        <f t="shared" si="42"/>
        <v/>
      </c>
      <c r="AT7" s="810">
        <f t="shared" si="43"/>
        <v>1</v>
      </c>
      <c r="AU7" s="810">
        <f t="shared" si="44"/>
        <v>1</v>
      </c>
      <c r="AV7" s="810" t="str">
        <f t="shared" si="45"/>
        <v/>
      </c>
      <c r="AW7" s="814">
        <f t="shared" si="45"/>
        <v>1</v>
      </c>
    </row>
    <row r="8" spans="1:49" s="315" customFormat="1">
      <c r="A8" s="794" t="str">
        <f t="shared" si="46"/>
        <v>Ca 1,</v>
      </c>
      <c r="B8" s="314" t="s">
        <v>241</v>
      </c>
      <c r="C8" s="314" t="str">
        <f t="shared" si="0"/>
        <v>Nồng độ    NaOH
氫氧化鈉</v>
      </c>
      <c r="D8" s="314" t="str">
        <f t="shared" si="1"/>
        <v>XL-001E</v>
      </c>
      <c r="E8" s="314" t="str">
        <f t="shared" si="2"/>
        <v>g/L</v>
      </c>
      <c r="F8" s="314" t="str">
        <f t="shared" si="3"/>
        <v>130 - 150</v>
      </c>
      <c r="G8" s="783">
        <f t="shared" si="4"/>
        <v>0</v>
      </c>
      <c r="H8" s="783" t="str">
        <f t="shared" si="5"/>
        <v>+</v>
      </c>
      <c r="I8" s="788">
        <f t="shared" si="6"/>
        <v>0</v>
      </c>
      <c r="J8" s="783" t="str">
        <f t="shared" si="7"/>
        <v>kg</v>
      </c>
      <c r="K8" s="783">
        <f t="shared" si="8"/>
        <v>127.68640000000011</v>
      </c>
      <c r="L8" s="788" t="str">
        <f t="shared" si="9"/>
        <v>+</v>
      </c>
      <c r="M8" s="783" t="str">
        <f t="shared" si="10"/>
        <v/>
      </c>
      <c r="N8" s="783">
        <f t="shared" si="11"/>
        <v>140.80000000000001</v>
      </c>
      <c r="O8" s="788">
        <f t="shared" si="12"/>
        <v>-15.960800000000226</v>
      </c>
      <c r="P8" s="783">
        <f t="shared" si="13"/>
        <v>0</v>
      </c>
      <c r="Q8" s="783">
        <f t="shared" si="14"/>
        <v>17.899999999999999</v>
      </c>
      <c r="R8" s="788">
        <f t="shared" si="15"/>
        <v>143.19999999999999</v>
      </c>
      <c r="S8" s="783" t="str">
        <f t="shared" si="16"/>
        <v>+</v>
      </c>
      <c r="T8" s="776" t="str">
        <f t="shared" si="17"/>
        <v>kg</v>
      </c>
      <c r="U8" s="777">
        <f t="shared" si="18"/>
        <v>17.8</v>
      </c>
      <c r="V8" s="783">
        <f t="shared" si="19"/>
        <v>-47.882400000000111</v>
      </c>
      <c r="W8" s="776" t="str">
        <f t="shared" si="20"/>
        <v/>
      </c>
      <c r="X8" s="777" t="str">
        <f t="shared" si="21"/>
        <v>kg</v>
      </c>
      <c r="Z8" s="315" t="b">
        <f t="shared" si="23"/>
        <v>1</v>
      </c>
      <c r="AA8" s="315" t="b">
        <f t="shared" si="24"/>
        <v>0</v>
      </c>
      <c r="AB8" s="315" t="b">
        <f t="shared" si="25"/>
        <v>0</v>
      </c>
      <c r="AC8" s="315" t="b">
        <f t="shared" si="26"/>
        <v>1</v>
      </c>
      <c r="AD8" s="315" t="b">
        <f t="shared" si="27"/>
        <v>0</v>
      </c>
      <c r="AE8" s="315" t="b">
        <f t="shared" si="28"/>
        <v>1</v>
      </c>
      <c r="AF8" s="315" t="b">
        <f t="shared" si="29"/>
        <v>1</v>
      </c>
      <c r="AG8" s="315" t="b">
        <f t="shared" si="30"/>
        <v>1</v>
      </c>
      <c r="AH8" s="315" t="b">
        <f t="shared" si="31"/>
        <v>0</v>
      </c>
      <c r="AI8" s="315" t="b">
        <f t="shared" si="32"/>
        <v>0</v>
      </c>
      <c r="AJ8" s="315" t="b">
        <f t="shared" si="33"/>
        <v>1</v>
      </c>
      <c r="AK8" s="315" t="b">
        <f t="shared" si="34"/>
        <v>0</v>
      </c>
      <c r="AL8" s="809" t="str">
        <f t="shared" si="35"/>
        <v/>
      </c>
      <c r="AM8" s="810">
        <f t="shared" si="36"/>
        <v>1</v>
      </c>
      <c r="AN8" s="810">
        <f t="shared" si="37"/>
        <v>1</v>
      </c>
      <c r="AO8" s="810" t="str">
        <f t="shared" si="38"/>
        <v/>
      </c>
      <c r="AP8" s="810">
        <f t="shared" si="39"/>
        <v>1</v>
      </c>
      <c r="AQ8" s="810" t="str">
        <f t="shared" si="40"/>
        <v/>
      </c>
      <c r="AR8" s="810" t="str">
        <f t="shared" si="41"/>
        <v/>
      </c>
      <c r="AS8" s="810" t="str">
        <f t="shared" si="42"/>
        <v/>
      </c>
      <c r="AT8" s="810">
        <f t="shared" si="43"/>
        <v>1</v>
      </c>
      <c r="AU8" s="810">
        <f t="shared" si="44"/>
        <v>1</v>
      </c>
      <c r="AV8" s="810" t="str">
        <f t="shared" si="45"/>
        <v/>
      </c>
      <c r="AW8" s="814">
        <f t="shared" si="45"/>
        <v>1</v>
      </c>
    </row>
    <row r="9" spans="1:49" s="315" customFormat="1">
      <c r="A9" s="794" t="str">
        <f t="shared" si="46"/>
        <v>Ca 1,</v>
      </c>
      <c r="B9" s="314" t="s">
        <v>242</v>
      </c>
      <c r="C9" s="314" t="str">
        <f t="shared" si="0"/>
        <v>Nồng độ Zn  鋅
(1 pcs Zn=25kg)</v>
      </c>
      <c r="D9" s="314" t="str">
        <f t="shared" si="1"/>
        <v>XL-001E</v>
      </c>
      <c r="E9" s="314" t="str">
        <f t="shared" si="2"/>
        <v>g/L</v>
      </c>
      <c r="F9" s="314" t="str">
        <f t="shared" si="3"/>
        <v>8~12</v>
      </c>
      <c r="G9" s="783">
        <f t="shared" si="4"/>
        <v>0</v>
      </c>
      <c r="H9" s="783" t="str">
        <f t="shared" si="5"/>
        <v>+</v>
      </c>
      <c r="I9" s="788">
        <f t="shared" si="6"/>
        <v>0</v>
      </c>
      <c r="J9" s="783" t="str">
        <f t="shared" si="7"/>
        <v>kg</v>
      </c>
      <c r="K9" s="783">
        <f t="shared" si="8"/>
        <v>-54.665740000000042</v>
      </c>
      <c r="L9" s="788" t="str">
        <f t="shared" si="9"/>
        <v>+</v>
      </c>
      <c r="M9" s="783" t="str">
        <f t="shared" si="10"/>
        <v/>
      </c>
      <c r="N9" s="783">
        <f t="shared" si="11"/>
        <v>12.48</v>
      </c>
      <c r="O9" s="788">
        <f t="shared" si="12"/>
        <v>-49.478480000000012</v>
      </c>
      <c r="P9" s="783">
        <f t="shared" si="13"/>
        <v>0</v>
      </c>
      <c r="Q9" s="783">
        <f t="shared" si="14"/>
        <v>8.8000000000000007</v>
      </c>
      <c r="R9" s="788">
        <f t="shared" si="15"/>
        <v>11.440000000000001</v>
      </c>
      <c r="S9" s="783" t="str">
        <f t="shared" si="16"/>
        <v>+</v>
      </c>
      <c r="T9" s="776" t="str">
        <f t="shared" si="17"/>
        <v>kg</v>
      </c>
      <c r="U9" s="777">
        <f t="shared" si="18"/>
        <v>8.3000000000000007</v>
      </c>
      <c r="V9" s="783">
        <f t="shared" si="19"/>
        <v>-15.761290000000018</v>
      </c>
      <c r="W9" s="776" t="str">
        <f t="shared" si="20"/>
        <v/>
      </c>
      <c r="X9" s="777" t="str">
        <f t="shared" si="21"/>
        <v>kg</v>
      </c>
      <c r="Z9" s="315" t="b">
        <f t="shared" si="23"/>
        <v>1</v>
      </c>
      <c r="AA9" s="315" t="b">
        <f t="shared" si="24"/>
        <v>0</v>
      </c>
      <c r="AB9" s="315" t="b">
        <f t="shared" si="25"/>
        <v>0</v>
      </c>
      <c r="AC9" s="315" t="b">
        <f t="shared" si="26"/>
        <v>1</v>
      </c>
      <c r="AD9" s="315" t="b">
        <f t="shared" si="27"/>
        <v>0</v>
      </c>
      <c r="AE9" s="315" t="b">
        <f t="shared" si="28"/>
        <v>1</v>
      </c>
      <c r="AF9" s="315" t="b">
        <f t="shared" si="29"/>
        <v>1</v>
      </c>
      <c r="AG9" s="315" t="b">
        <f t="shared" si="30"/>
        <v>1</v>
      </c>
      <c r="AH9" s="315" t="b">
        <f t="shared" si="31"/>
        <v>0</v>
      </c>
      <c r="AI9" s="315" t="b">
        <f t="shared" si="32"/>
        <v>0</v>
      </c>
      <c r="AJ9" s="315" t="b">
        <f t="shared" si="33"/>
        <v>1</v>
      </c>
      <c r="AK9" s="315" t="b">
        <f t="shared" si="34"/>
        <v>0</v>
      </c>
      <c r="AL9" s="809" t="str">
        <f t="shared" si="35"/>
        <v/>
      </c>
      <c r="AM9" s="810">
        <f t="shared" si="36"/>
        <v>1</v>
      </c>
      <c r="AN9" s="810">
        <f t="shared" si="37"/>
        <v>1</v>
      </c>
      <c r="AO9" s="810" t="str">
        <f t="shared" si="38"/>
        <v/>
      </c>
      <c r="AP9" s="810">
        <f t="shared" si="39"/>
        <v>1</v>
      </c>
      <c r="AQ9" s="810" t="str">
        <f t="shared" si="40"/>
        <v/>
      </c>
      <c r="AR9" s="810" t="str">
        <f t="shared" si="41"/>
        <v/>
      </c>
      <c r="AS9" s="810" t="str">
        <f t="shared" si="42"/>
        <v/>
      </c>
      <c r="AT9" s="810">
        <f t="shared" si="43"/>
        <v>1</v>
      </c>
      <c r="AU9" s="810">
        <f t="shared" si="44"/>
        <v>1</v>
      </c>
      <c r="AV9" s="810" t="str">
        <f t="shared" si="45"/>
        <v/>
      </c>
      <c r="AW9" s="814">
        <f t="shared" si="45"/>
        <v>1</v>
      </c>
    </row>
    <row r="10" spans="1:49" s="315" customFormat="1">
      <c r="A10" s="794" t="str">
        <f t="shared" si="46"/>
        <v>Ca 1,</v>
      </c>
      <c r="B10" s="314" t="s">
        <v>248</v>
      </c>
      <c r="C10" s="314" t="str">
        <f t="shared" si="0"/>
        <v>Nồng độ Cr2O3
三價鉻</v>
      </c>
      <c r="D10" s="314" t="str">
        <f t="shared" si="1"/>
        <v>XL-001E</v>
      </c>
      <c r="E10" s="314" t="str">
        <f t="shared" si="2"/>
        <v>%</v>
      </c>
      <c r="F10" s="314" t="str">
        <f t="shared" si="3"/>
        <v xml:space="preserve">12~18 </v>
      </c>
      <c r="G10" s="783">
        <f t="shared" si="4"/>
        <v>0</v>
      </c>
      <c r="H10" s="783" t="str">
        <f t="shared" si="5"/>
        <v>+</v>
      </c>
      <c r="I10" s="788">
        <f t="shared" si="6"/>
        <v>0</v>
      </c>
      <c r="J10" s="783" t="str">
        <f t="shared" si="7"/>
        <v>L</v>
      </c>
      <c r="K10" s="783">
        <f t="shared" si="8"/>
        <v>-10.507194244604314</v>
      </c>
      <c r="L10" s="788" t="str">
        <f t="shared" si="9"/>
        <v>+</v>
      </c>
      <c r="M10" s="783" t="str">
        <f t="shared" si="10"/>
        <v/>
      </c>
      <c r="N10" s="783">
        <f t="shared" si="11"/>
        <v>15.827338129496402</v>
      </c>
      <c r="O10" s="788">
        <f t="shared" si="12"/>
        <v>-10.507194244604314</v>
      </c>
      <c r="P10" s="783">
        <f t="shared" si="13"/>
        <v>0</v>
      </c>
      <c r="Q10" s="783">
        <f t="shared" si="14"/>
        <v>12.6</v>
      </c>
      <c r="R10" s="788">
        <f t="shared" si="15"/>
        <v>18.129496402877699</v>
      </c>
      <c r="S10" s="783" t="str">
        <f t="shared" si="16"/>
        <v>+</v>
      </c>
      <c r="T10" s="776" t="str">
        <f t="shared" si="17"/>
        <v>L</v>
      </c>
      <c r="U10" s="777">
        <f t="shared" si="18"/>
        <v>10.6</v>
      </c>
      <c r="V10" s="783">
        <f t="shared" si="19"/>
        <v>-7.1978417266187114</v>
      </c>
      <c r="W10" s="776" t="str">
        <f t="shared" si="20"/>
        <v/>
      </c>
      <c r="X10" s="777" t="str">
        <f t="shared" si="21"/>
        <v>L</v>
      </c>
      <c r="Z10" s="315" t="b">
        <f t="shared" si="23"/>
        <v>1</v>
      </c>
      <c r="AA10" s="315" t="b">
        <f t="shared" si="24"/>
        <v>0</v>
      </c>
      <c r="AB10" s="315" t="b">
        <f t="shared" si="25"/>
        <v>0</v>
      </c>
      <c r="AC10" s="315" t="b">
        <f t="shared" si="26"/>
        <v>1</v>
      </c>
      <c r="AD10" s="315" t="b">
        <f t="shared" si="27"/>
        <v>0</v>
      </c>
      <c r="AE10" s="315" t="b">
        <f t="shared" si="28"/>
        <v>1</v>
      </c>
      <c r="AF10" s="315" t="b">
        <f t="shared" si="29"/>
        <v>1</v>
      </c>
      <c r="AG10" s="315" t="b">
        <f t="shared" si="30"/>
        <v>1</v>
      </c>
      <c r="AH10" s="315" t="b">
        <f t="shared" si="31"/>
        <v>0</v>
      </c>
      <c r="AI10" s="315" t="b">
        <f t="shared" si="32"/>
        <v>0</v>
      </c>
      <c r="AJ10" s="315" t="b">
        <f t="shared" si="33"/>
        <v>1</v>
      </c>
      <c r="AK10" s="315" t="b">
        <f t="shared" si="34"/>
        <v>0</v>
      </c>
      <c r="AL10" s="809" t="str">
        <f t="shared" si="35"/>
        <v/>
      </c>
      <c r="AM10" s="810">
        <f t="shared" si="36"/>
        <v>1</v>
      </c>
      <c r="AN10" s="810">
        <f t="shared" si="37"/>
        <v>1</v>
      </c>
      <c r="AO10" s="810" t="str">
        <f t="shared" si="38"/>
        <v/>
      </c>
      <c r="AP10" s="810">
        <f t="shared" si="39"/>
        <v>1</v>
      </c>
      <c r="AQ10" s="810" t="str">
        <f t="shared" si="40"/>
        <v/>
      </c>
      <c r="AR10" s="810" t="str">
        <f t="shared" si="41"/>
        <v/>
      </c>
      <c r="AS10" s="810" t="str">
        <f t="shared" si="42"/>
        <v/>
      </c>
      <c r="AT10" s="810">
        <f t="shared" si="43"/>
        <v>1</v>
      </c>
      <c r="AU10" s="810">
        <f t="shared" si="44"/>
        <v>1</v>
      </c>
      <c r="AV10" s="810" t="str">
        <f t="shared" si="45"/>
        <v/>
      </c>
      <c r="AW10" s="814">
        <f t="shared" si="45"/>
        <v>1</v>
      </c>
    </row>
    <row r="11" spans="1:49" s="315" customFormat="1">
      <c r="A11" s="794" t="str">
        <f t="shared" si="46"/>
        <v>Ca 1,</v>
      </c>
      <c r="B11" s="314" t="s">
        <v>250</v>
      </c>
      <c r="C11" s="314" t="str">
        <f t="shared" si="0"/>
        <v>Pha mới: 2024/08/01</v>
      </c>
      <c r="D11" s="314" t="str">
        <f t="shared" si="1"/>
        <v>XL-001E</v>
      </c>
      <c r="E11" s="314" t="str">
        <f t="shared" si="2"/>
        <v>pH</v>
      </c>
      <c r="F11" s="314" t="str">
        <f t="shared" si="3"/>
        <v>1.5~1.9</v>
      </c>
      <c r="G11" s="783">
        <f t="shared" si="4"/>
        <v>0</v>
      </c>
      <c r="H11" s="783">
        <f t="shared" si="5"/>
        <v>0</v>
      </c>
      <c r="I11" s="788">
        <f t="shared" si="6"/>
        <v>0</v>
      </c>
      <c r="J11" s="783">
        <f t="shared" si="7"/>
        <v>0</v>
      </c>
      <c r="K11" s="783">
        <f t="shared" si="8"/>
        <v>0</v>
      </c>
      <c r="L11" s="788">
        <f t="shared" si="9"/>
        <v>0</v>
      </c>
      <c r="M11" s="783" t="str">
        <f t="shared" si="10"/>
        <v/>
      </c>
      <c r="N11" s="783">
        <f t="shared" si="11"/>
        <v>1.64</v>
      </c>
      <c r="O11" s="788">
        <f t="shared" si="12"/>
        <v>0</v>
      </c>
      <c r="P11" s="783">
        <f t="shared" si="13"/>
        <v>0</v>
      </c>
      <c r="Q11" s="783">
        <f t="shared" si="14"/>
        <v>0</v>
      </c>
      <c r="R11" s="788">
        <f t="shared" si="15"/>
        <v>1.8</v>
      </c>
      <c r="S11" s="783">
        <f t="shared" si="16"/>
        <v>0</v>
      </c>
      <c r="T11" s="776">
        <f t="shared" si="17"/>
        <v>0</v>
      </c>
      <c r="U11" s="777">
        <f t="shared" si="18"/>
        <v>0</v>
      </c>
      <c r="V11" s="783">
        <f t="shared" si="19"/>
        <v>0</v>
      </c>
      <c r="W11" s="776" t="str">
        <f t="shared" si="20"/>
        <v/>
      </c>
      <c r="X11" s="777">
        <f t="shared" si="21"/>
        <v>0</v>
      </c>
      <c r="Z11" s="315" t="b">
        <f t="shared" si="23"/>
        <v>1</v>
      </c>
      <c r="AA11" s="315" t="b">
        <f t="shared" si="24"/>
        <v>1</v>
      </c>
      <c r="AB11" s="315" t="b">
        <f t="shared" si="25"/>
        <v>1</v>
      </c>
      <c r="AC11" s="315" t="b">
        <f t="shared" si="26"/>
        <v>1</v>
      </c>
      <c r="AD11" s="315" t="b">
        <f t="shared" si="27"/>
        <v>0</v>
      </c>
      <c r="AE11" s="315" t="b">
        <f t="shared" si="28"/>
        <v>1</v>
      </c>
      <c r="AF11" s="315" t="b">
        <f t="shared" si="29"/>
        <v>1</v>
      </c>
      <c r="AG11" s="315" t="b">
        <f t="shared" si="30"/>
        <v>1</v>
      </c>
      <c r="AH11" s="315" t="b">
        <f t="shared" si="31"/>
        <v>1</v>
      </c>
      <c r="AI11" s="315" t="b">
        <f t="shared" si="32"/>
        <v>1</v>
      </c>
      <c r="AJ11" s="315" t="b">
        <f t="shared" si="33"/>
        <v>1</v>
      </c>
      <c r="AK11" s="315" t="b">
        <f t="shared" si="34"/>
        <v>0</v>
      </c>
      <c r="AL11" s="809" t="str">
        <f t="shared" si="35"/>
        <v/>
      </c>
      <c r="AM11" s="810" t="str">
        <f t="shared" si="36"/>
        <v/>
      </c>
      <c r="AN11" s="810" t="str">
        <f t="shared" si="37"/>
        <v/>
      </c>
      <c r="AO11" s="810" t="str">
        <f t="shared" si="38"/>
        <v/>
      </c>
      <c r="AP11" s="810">
        <f t="shared" si="39"/>
        <v>1</v>
      </c>
      <c r="AQ11" s="810" t="str">
        <f t="shared" si="40"/>
        <v/>
      </c>
      <c r="AR11" s="810" t="str">
        <f t="shared" si="41"/>
        <v/>
      </c>
      <c r="AS11" s="810" t="str">
        <f t="shared" si="42"/>
        <v/>
      </c>
      <c r="AT11" s="810" t="str">
        <f t="shared" si="43"/>
        <v/>
      </c>
      <c r="AU11" s="810" t="str">
        <f t="shared" si="44"/>
        <v/>
      </c>
      <c r="AV11" s="810" t="str">
        <f t="shared" si="45"/>
        <v/>
      </c>
      <c r="AW11" s="814">
        <f t="shared" si="45"/>
        <v>1</v>
      </c>
    </row>
    <row r="12" spans="1:49" s="315" customFormat="1">
      <c r="A12" s="794" t="str">
        <f t="shared" si="46"/>
        <v>Ca 1,</v>
      </c>
      <c r="B12" s="314" t="s">
        <v>243</v>
      </c>
      <c r="C12" s="314" t="str">
        <f t="shared" si="0"/>
        <v>Nồng độ acid đặc
鹽酸 濃度</v>
      </c>
      <c r="D12" s="314" t="str">
        <f t="shared" si="1"/>
        <v>XL-001E</v>
      </c>
      <c r="E12" s="314" t="str">
        <f t="shared" si="2"/>
        <v>%V/V</v>
      </c>
      <c r="F12" s="314" t="str">
        <f t="shared" si="3"/>
        <v xml:space="preserve">40~50 </v>
      </c>
      <c r="G12" s="783">
        <f t="shared" si="4"/>
        <v>0</v>
      </c>
      <c r="H12" s="783" t="str">
        <f t="shared" si="5"/>
        <v>+</v>
      </c>
      <c r="I12" s="788">
        <f t="shared" si="6"/>
        <v>0</v>
      </c>
      <c r="J12" s="783" t="str">
        <f t="shared" si="7"/>
        <v>L</v>
      </c>
      <c r="K12" s="783">
        <f t="shared" si="8"/>
        <v>35.145625000000074</v>
      </c>
      <c r="L12" s="788" t="str">
        <f t="shared" si="9"/>
        <v>+</v>
      </c>
      <c r="M12" s="783" t="str">
        <f t="shared" si="10"/>
        <v/>
      </c>
      <c r="N12" s="783">
        <f t="shared" si="11"/>
        <v>0.47906250000000006</v>
      </c>
      <c r="O12" s="788">
        <f t="shared" si="12"/>
        <v>-61.670625000000101</v>
      </c>
      <c r="P12" s="783">
        <f t="shared" si="13"/>
        <v>0</v>
      </c>
      <c r="Q12" s="783">
        <f t="shared" si="14"/>
        <v>4.3</v>
      </c>
      <c r="R12" s="788">
        <f t="shared" si="15"/>
        <v>0.49046874999999995</v>
      </c>
      <c r="S12" s="783" t="str">
        <f t="shared" si="16"/>
        <v>+</v>
      </c>
      <c r="T12" s="776" t="str">
        <f t="shared" si="17"/>
        <v>L</v>
      </c>
      <c r="U12" s="777">
        <f t="shared" si="18"/>
        <v>4.0999999999999996</v>
      </c>
      <c r="V12" s="783">
        <f t="shared" si="19"/>
        <v>-37.466562499999853</v>
      </c>
      <c r="W12" s="776" t="str">
        <f t="shared" si="20"/>
        <v/>
      </c>
      <c r="X12" s="777" t="str">
        <f t="shared" si="21"/>
        <v>L</v>
      </c>
      <c r="Z12" s="315" t="b">
        <f t="shared" si="23"/>
        <v>1</v>
      </c>
      <c r="AA12" s="315" t="b">
        <f t="shared" si="24"/>
        <v>0</v>
      </c>
      <c r="AB12" s="315" t="b">
        <f t="shared" si="25"/>
        <v>0</v>
      </c>
      <c r="AC12" s="315" t="b">
        <f t="shared" si="26"/>
        <v>1</v>
      </c>
      <c r="AD12" s="315" t="b">
        <f t="shared" si="27"/>
        <v>0</v>
      </c>
      <c r="AE12" s="315" t="b">
        <f t="shared" si="28"/>
        <v>1</v>
      </c>
      <c r="AF12" s="315" t="b">
        <f t="shared" si="29"/>
        <v>1</v>
      </c>
      <c r="AG12" s="315" t="b">
        <f t="shared" si="30"/>
        <v>1</v>
      </c>
      <c r="AH12" s="315" t="b">
        <f t="shared" si="31"/>
        <v>0</v>
      </c>
      <c r="AI12" s="315" t="b">
        <f t="shared" si="32"/>
        <v>0</v>
      </c>
      <c r="AJ12" s="315" t="b">
        <f t="shared" si="33"/>
        <v>1</v>
      </c>
      <c r="AK12" s="315" t="b">
        <f t="shared" si="34"/>
        <v>0</v>
      </c>
      <c r="AL12" s="809" t="str">
        <f t="shared" si="35"/>
        <v/>
      </c>
      <c r="AM12" s="810">
        <f t="shared" si="36"/>
        <v>1</v>
      </c>
      <c r="AN12" s="810">
        <f t="shared" si="37"/>
        <v>1</v>
      </c>
      <c r="AO12" s="810" t="str">
        <f t="shared" si="38"/>
        <v/>
      </c>
      <c r="AP12" s="810">
        <f t="shared" si="39"/>
        <v>1</v>
      </c>
      <c r="AQ12" s="810" t="str">
        <f t="shared" si="40"/>
        <v/>
      </c>
      <c r="AR12" s="810" t="str">
        <f t="shared" si="41"/>
        <v/>
      </c>
      <c r="AS12" s="810" t="str">
        <f t="shared" si="42"/>
        <v/>
      </c>
      <c r="AT12" s="810">
        <f t="shared" si="43"/>
        <v>1</v>
      </c>
      <c r="AU12" s="810">
        <f t="shared" si="44"/>
        <v>1</v>
      </c>
      <c r="AV12" s="810" t="str">
        <f t="shared" si="45"/>
        <v/>
      </c>
      <c r="AW12" s="814">
        <f t="shared" si="45"/>
        <v>1</v>
      </c>
    </row>
    <row r="13" spans="1:49" s="315" customFormat="1">
      <c r="A13" s="794" t="str">
        <f t="shared" si="46"/>
        <v>Ca 1,</v>
      </c>
      <c r="B13" s="314" t="s">
        <v>244</v>
      </c>
      <c r="C13" s="314" t="str">
        <f t="shared" si="0"/>
        <v>Nồng độ acid loãng
稀酸 濃度</v>
      </c>
      <c r="D13" s="314" t="str">
        <f t="shared" si="1"/>
        <v>XL-001E</v>
      </c>
      <c r="E13" s="314" t="str">
        <f t="shared" si="2"/>
        <v>%V/V</v>
      </c>
      <c r="F13" s="314" t="str">
        <f t="shared" si="3"/>
        <v>(22±5) =17~27</v>
      </c>
      <c r="G13" s="783">
        <f t="shared" si="4"/>
        <v>0</v>
      </c>
      <c r="H13" s="783" t="str">
        <f t="shared" si="5"/>
        <v>+</v>
      </c>
      <c r="I13" s="788">
        <f t="shared" si="6"/>
        <v>0</v>
      </c>
      <c r="J13" s="783" t="str">
        <f t="shared" si="7"/>
        <v>L</v>
      </c>
      <c r="K13" s="783">
        <f t="shared" si="8"/>
        <v>134.64000000000001</v>
      </c>
      <c r="L13" s="788" t="str">
        <f t="shared" si="9"/>
        <v>+</v>
      </c>
      <c r="M13" s="783" t="str">
        <f t="shared" si="10"/>
        <v/>
      </c>
      <c r="N13" s="783">
        <f t="shared" si="11"/>
        <v>0</v>
      </c>
      <c r="O13" s="788">
        <f t="shared" si="12"/>
        <v>134.64000000000001</v>
      </c>
      <c r="P13" s="783">
        <f t="shared" si="13"/>
        <v>0</v>
      </c>
      <c r="Q13" s="783">
        <f t="shared" si="14"/>
        <v>0</v>
      </c>
      <c r="R13" s="788">
        <f t="shared" si="15"/>
        <v>0</v>
      </c>
      <c r="S13" s="783" t="str">
        <f t="shared" si="16"/>
        <v>+</v>
      </c>
      <c r="T13" s="776" t="str">
        <f t="shared" si="17"/>
        <v>L</v>
      </c>
      <c r="U13" s="777">
        <f t="shared" si="18"/>
        <v>0</v>
      </c>
      <c r="V13" s="783">
        <f t="shared" si="19"/>
        <v>134.64000000000001</v>
      </c>
      <c r="W13" s="776" t="str">
        <f t="shared" si="20"/>
        <v/>
      </c>
      <c r="X13" s="777" t="str">
        <f t="shared" si="21"/>
        <v>L</v>
      </c>
      <c r="Z13" s="315" t="b">
        <f t="shared" si="23"/>
        <v>1</v>
      </c>
      <c r="AA13" s="315" t="b">
        <f t="shared" si="24"/>
        <v>0</v>
      </c>
      <c r="AB13" s="315" t="b">
        <f t="shared" si="25"/>
        <v>0</v>
      </c>
      <c r="AC13" s="315" t="b">
        <f t="shared" si="26"/>
        <v>1</v>
      </c>
      <c r="AD13" s="315" t="b">
        <f t="shared" si="27"/>
        <v>0</v>
      </c>
      <c r="AE13" s="315" t="b">
        <f t="shared" si="28"/>
        <v>1</v>
      </c>
      <c r="AF13" s="315" t="b">
        <f t="shared" si="29"/>
        <v>1</v>
      </c>
      <c r="AG13" s="315" t="b">
        <f t="shared" si="30"/>
        <v>1</v>
      </c>
      <c r="AH13" s="315" t="b">
        <f t="shared" si="31"/>
        <v>0</v>
      </c>
      <c r="AI13" s="315" t="b">
        <f t="shared" si="32"/>
        <v>0</v>
      </c>
      <c r="AJ13" s="315" t="b">
        <f t="shared" si="33"/>
        <v>1</v>
      </c>
      <c r="AK13" s="315" t="b">
        <f t="shared" si="34"/>
        <v>0</v>
      </c>
      <c r="AL13" s="809" t="str">
        <f t="shared" si="35"/>
        <v/>
      </c>
      <c r="AM13" s="810">
        <f t="shared" si="36"/>
        <v>1</v>
      </c>
      <c r="AN13" s="810">
        <f t="shared" si="37"/>
        <v>1</v>
      </c>
      <c r="AO13" s="810" t="str">
        <f t="shared" si="38"/>
        <v/>
      </c>
      <c r="AP13" s="810">
        <f t="shared" si="39"/>
        <v>1</v>
      </c>
      <c r="AQ13" s="810" t="str">
        <f t="shared" si="40"/>
        <v/>
      </c>
      <c r="AR13" s="810" t="str">
        <f t="shared" si="41"/>
        <v/>
      </c>
      <c r="AS13" s="810" t="str">
        <f t="shared" si="42"/>
        <v/>
      </c>
      <c r="AT13" s="810">
        <f t="shared" si="43"/>
        <v>1</v>
      </c>
      <c r="AU13" s="810">
        <f t="shared" si="44"/>
        <v>1</v>
      </c>
      <c r="AV13" s="810" t="str">
        <f t="shared" si="45"/>
        <v/>
      </c>
      <c r="AW13" s="814">
        <f t="shared" si="45"/>
        <v>1</v>
      </c>
    </row>
    <row r="14" spans="1:49" s="315" customFormat="1">
      <c r="A14" s="794" t="str">
        <f t="shared" si="46"/>
        <v>Ca 1,</v>
      </c>
      <c r="B14" s="314" t="s">
        <v>245</v>
      </c>
      <c r="C14" s="314" t="str">
        <f t="shared" si="0"/>
        <v>Nồng độ HCl hoạt hóa
稀酸活化 濃度</v>
      </c>
      <c r="D14" s="314" t="str">
        <f t="shared" si="1"/>
        <v>XL-001E</v>
      </c>
      <c r="E14" s="314" t="str">
        <f t="shared" si="2"/>
        <v>%V/V</v>
      </c>
      <c r="F14" s="314" t="str">
        <f t="shared" si="3"/>
        <v>5~15</v>
      </c>
      <c r="G14" s="783">
        <f t="shared" si="4"/>
        <v>0</v>
      </c>
      <c r="H14" s="783" t="str">
        <f t="shared" si="5"/>
        <v>+</v>
      </c>
      <c r="I14" s="788">
        <f t="shared" si="6"/>
        <v>0</v>
      </c>
      <c r="J14" s="783" t="str">
        <f t="shared" si="7"/>
        <v>L</v>
      </c>
      <c r="K14" s="783">
        <f t="shared" si="8"/>
        <v>-19.891406250000003</v>
      </c>
      <c r="L14" s="788" t="str">
        <f t="shared" si="9"/>
        <v>+</v>
      </c>
      <c r="M14" s="783" t="str">
        <f t="shared" si="10"/>
        <v/>
      </c>
      <c r="N14" s="783">
        <f t="shared" si="11"/>
        <v>0.18478124999999998</v>
      </c>
      <c r="O14" s="788">
        <f t="shared" si="12"/>
        <v>-48.749218749999983</v>
      </c>
      <c r="P14" s="783">
        <f t="shared" si="13"/>
        <v>0</v>
      </c>
      <c r="Q14" s="783">
        <f t="shared" si="14"/>
        <v>7.5</v>
      </c>
      <c r="R14" s="788">
        <f t="shared" si="15"/>
        <v>0.17109374999999999</v>
      </c>
      <c r="S14" s="783" t="str">
        <f t="shared" si="16"/>
        <v>+</v>
      </c>
      <c r="T14" s="776" t="str">
        <f t="shared" si="17"/>
        <v>L</v>
      </c>
      <c r="U14" s="777">
        <f t="shared" si="18"/>
        <v>6.7</v>
      </c>
      <c r="V14" s="783">
        <f t="shared" si="19"/>
        <v>-30.385156249999998</v>
      </c>
      <c r="W14" s="776" t="str">
        <f t="shared" si="20"/>
        <v/>
      </c>
      <c r="X14" s="777" t="str">
        <f t="shared" si="21"/>
        <v>L</v>
      </c>
      <c r="Z14" s="315" t="b">
        <f t="shared" si="23"/>
        <v>1</v>
      </c>
      <c r="AA14" s="315" t="b">
        <f t="shared" si="24"/>
        <v>0</v>
      </c>
      <c r="AB14" s="315" t="b">
        <f t="shared" si="25"/>
        <v>0</v>
      </c>
      <c r="AC14" s="315" t="b">
        <f t="shared" si="26"/>
        <v>1</v>
      </c>
      <c r="AD14" s="315" t="b">
        <f t="shared" si="27"/>
        <v>0</v>
      </c>
      <c r="AE14" s="315" t="b">
        <f t="shared" si="28"/>
        <v>1</v>
      </c>
      <c r="AF14" s="315" t="b">
        <f t="shared" si="29"/>
        <v>1</v>
      </c>
      <c r="AG14" s="315" t="b">
        <f t="shared" si="30"/>
        <v>1</v>
      </c>
      <c r="AH14" s="315" t="b">
        <f t="shared" si="31"/>
        <v>0</v>
      </c>
      <c r="AI14" s="315" t="b">
        <f t="shared" si="32"/>
        <v>0</v>
      </c>
      <c r="AJ14" s="315" t="b">
        <f t="shared" si="33"/>
        <v>1</v>
      </c>
      <c r="AK14" s="315" t="b">
        <f t="shared" si="34"/>
        <v>0</v>
      </c>
      <c r="AL14" s="809" t="str">
        <f t="shared" si="35"/>
        <v/>
      </c>
      <c r="AM14" s="810">
        <f t="shared" si="36"/>
        <v>1</v>
      </c>
      <c r="AN14" s="810">
        <f t="shared" si="37"/>
        <v>1</v>
      </c>
      <c r="AO14" s="810" t="str">
        <f t="shared" si="38"/>
        <v/>
      </c>
      <c r="AP14" s="810">
        <f t="shared" si="39"/>
        <v>1</v>
      </c>
      <c r="AQ14" s="810" t="str">
        <f t="shared" si="40"/>
        <v/>
      </c>
      <c r="AR14" s="810" t="str">
        <f t="shared" si="41"/>
        <v/>
      </c>
      <c r="AS14" s="810" t="str">
        <f t="shared" si="42"/>
        <v/>
      </c>
      <c r="AT14" s="810">
        <f t="shared" si="43"/>
        <v>1</v>
      </c>
      <c r="AU14" s="810">
        <f t="shared" si="44"/>
        <v>1</v>
      </c>
      <c r="AV14" s="810" t="str">
        <f t="shared" si="45"/>
        <v/>
      </c>
      <c r="AW14" s="814">
        <f t="shared" si="45"/>
        <v>1</v>
      </c>
    </row>
    <row r="15" spans="1:49" s="315" customFormat="1">
      <c r="A15" s="794" t="str">
        <f t="shared" si="46"/>
        <v>Ca 1,</v>
      </c>
      <c r="B15" s="314" t="s">
        <v>246</v>
      </c>
      <c r="C15" s="314" t="str">
        <f t="shared" si="0"/>
        <v>Nồng độ  HNO3
硝酸濃度</v>
      </c>
      <c r="D15" s="314" t="str">
        <f t="shared" si="1"/>
        <v>XL-001E</v>
      </c>
      <c r="E15" s="314" t="str">
        <f t="shared" si="2"/>
        <v>%</v>
      </c>
      <c r="F15" s="314" t="str">
        <f t="shared" si="3"/>
        <v>0.5~1.0</v>
      </c>
      <c r="G15" s="783">
        <f t="shared" si="4"/>
        <v>0</v>
      </c>
      <c r="H15" s="783" t="str">
        <f t="shared" si="5"/>
        <v>+</v>
      </c>
      <c r="I15" s="788">
        <f t="shared" si="6"/>
        <v>0</v>
      </c>
      <c r="J15" s="783" t="str">
        <f t="shared" si="7"/>
        <v>L</v>
      </c>
      <c r="K15" s="783">
        <f t="shared" si="8"/>
        <v>3.7799286805909325</v>
      </c>
      <c r="L15" s="788" t="str">
        <f t="shared" si="9"/>
        <v>+</v>
      </c>
      <c r="M15" s="783" t="str">
        <f t="shared" si="10"/>
        <v/>
      </c>
      <c r="N15" s="783">
        <f t="shared" si="11"/>
        <v>0</v>
      </c>
      <c r="O15" s="788">
        <f t="shared" si="12"/>
        <v>3.7799286805909325</v>
      </c>
      <c r="P15" s="783">
        <f t="shared" si="13"/>
        <v>0</v>
      </c>
      <c r="Q15" s="783">
        <f t="shared" si="14"/>
        <v>6.5</v>
      </c>
      <c r="R15" s="788">
        <f t="shared" si="15"/>
        <v>8.1899999999999994E-3</v>
      </c>
      <c r="S15" s="783" t="str">
        <f t="shared" si="16"/>
        <v>+</v>
      </c>
      <c r="T15" s="776" t="str">
        <f t="shared" si="17"/>
        <v>L</v>
      </c>
      <c r="U15" s="777">
        <f t="shared" si="18"/>
        <v>7.1</v>
      </c>
      <c r="V15" s="783">
        <f t="shared" si="19"/>
        <v>-1.0508201732042786</v>
      </c>
      <c r="W15" s="776" t="str">
        <f t="shared" si="20"/>
        <v/>
      </c>
      <c r="X15" s="777" t="str">
        <f t="shared" si="21"/>
        <v>L</v>
      </c>
      <c r="Z15" s="315" t="b">
        <f t="shared" si="23"/>
        <v>1</v>
      </c>
      <c r="AA15" s="315" t="b">
        <f t="shared" si="24"/>
        <v>0</v>
      </c>
      <c r="AB15" s="315" t="b">
        <f t="shared" si="25"/>
        <v>0</v>
      </c>
      <c r="AC15" s="315" t="b">
        <f t="shared" si="26"/>
        <v>1</v>
      </c>
      <c r="AD15" s="315" t="b">
        <f t="shared" si="27"/>
        <v>0</v>
      </c>
      <c r="AE15" s="315" t="b">
        <f t="shared" si="28"/>
        <v>1</v>
      </c>
      <c r="AF15" s="315" t="b">
        <f t="shared" si="29"/>
        <v>1</v>
      </c>
      <c r="AG15" s="315" t="b">
        <f t="shared" si="30"/>
        <v>1</v>
      </c>
      <c r="AH15" s="315" t="b">
        <f t="shared" si="31"/>
        <v>0</v>
      </c>
      <c r="AI15" s="315" t="b">
        <f t="shared" si="32"/>
        <v>0</v>
      </c>
      <c r="AJ15" s="315" t="b">
        <f t="shared" si="33"/>
        <v>1</v>
      </c>
      <c r="AK15" s="315" t="b">
        <f t="shared" si="34"/>
        <v>0</v>
      </c>
      <c r="AL15" s="809" t="str">
        <f t="shared" si="35"/>
        <v/>
      </c>
      <c r="AM15" s="810">
        <f t="shared" si="36"/>
        <v>1</v>
      </c>
      <c r="AN15" s="810">
        <f t="shared" si="37"/>
        <v>1</v>
      </c>
      <c r="AO15" s="810" t="str">
        <f t="shared" si="38"/>
        <v/>
      </c>
      <c r="AP15" s="810">
        <f t="shared" si="39"/>
        <v>1</v>
      </c>
      <c r="AQ15" s="810" t="str">
        <f t="shared" si="40"/>
        <v/>
      </c>
      <c r="AR15" s="810" t="str">
        <f t="shared" si="41"/>
        <v/>
      </c>
      <c r="AS15" s="810" t="str">
        <f t="shared" si="42"/>
        <v/>
      </c>
      <c r="AT15" s="810">
        <f t="shared" si="43"/>
        <v>1</v>
      </c>
      <c r="AU15" s="810">
        <f t="shared" si="44"/>
        <v>1</v>
      </c>
      <c r="AV15" s="810" t="str">
        <f t="shared" si="45"/>
        <v/>
      </c>
      <c r="AW15" s="814">
        <f t="shared" si="45"/>
        <v>1</v>
      </c>
    </row>
    <row r="16" spans="1:49" s="315" customFormat="1">
      <c r="A16" s="794" t="str">
        <f t="shared" si="46"/>
        <v>Ca 1,</v>
      </c>
      <c r="B16" s="314" t="s">
        <v>258</v>
      </c>
      <c r="C16" s="314" t="str">
        <f t="shared" si="0"/>
        <v>chất mềm (merlin starer)
開缸劑</v>
      </c>
      <c r="D16" s="314" t="str">
        <f t="shared" si="1"/>
        <v>XL-001E</v>
      </c>
      <c r="E16" s="314" t="str">
        <f t="shared" si="2"/>
        <v>ml/1000
AH</v>
      </c>
      <c r="F16" s="314" t="str">
        <f t="shared" si="3"/>
        <v>300-360</v>
      </c>
      <c r="G16" s="783">
        <f t="shared" si="4"/>
        <v>0</v>
      </c>
      <c r="H16" s="783">
        <f t="shared" si="5"/>
        <v>0</v>
      </c>
      <c r="I16" s="788">
        <f t="shared" si="6"/>
        <v>0</v>
      </c>
      <c r="J16" s="783">
        <f t="shared" si="7"/>
        <v>0</v>
      </c>
      <c r="K16" s="783">
        <f t="shared" si="8"/>
        <v>0</v>
      </c>
      <c r="L16" s="788">
        <f t="shared" si="9"/>
        <v>0</v>
      </c>
      <c r="M16" s="783">
        <f t="shared" si="10"/>
        <v>0</v>
      </c>
      <c r="N16" s="783">
        <f t="shared" si="11"/>
        <v>0</v>
      </c>
      <c r="O16" s="788">
        <f t="shared" si="12"/>
        <v>0</v>
      </c>
      <c r="P16" s="783">
        <f t="shared" si="13"/>
        <v>0</v>
      </c>
      <c r="Q16" s="783">
        <f t="shared" si="14"/>
        <v>0</v>
      </c>
      <c r="R16" s="788">
        <f t="shared" si="15"/>
        <v>460</v>
      </c>
      <c r="S16" s="783">
        <f t="shared" si="16"/>
        <v>0</v>
      </c>
      <c r="T16" s="776">
        <f t="shared" si="17"/>
        <v>0</v>
      </c>
      <c r="U16" s="777">
        <f t="shared" si="18"/>
        <v>0</v>
      </c>
      <c r="V16" s="783">
        <f t="shared" si="19"/>
        <v>0</v>
      </c>
      <c r="W16" s="776">
        <f t="shared" si="20"/>
        <v>0</v>
      </c>
      <c r="X16" s="777">
        <f t="shared" si="21"/>
        <v>0</v>
      </c>
      <c r="Z16" s="315" t="b">
        <f t="shared" si="23"/>
        <v>1</v>
      </c>
      <c r="AA16" s="315" t="b">
        <f t="shared" si="24"/>
        <v>1</v>
      </c>
      <c r="AB16" s="315" t="b">
        <f t="shared" si="25"/>
        <v>1</v>
      </c>
      <c r="AC16" s="315" t="b">
        <f t="shared" si="26"/>
        <v>1</v>
      </c>
      <c r="AD16" s="315" t="b">
        <f t="shared" si="27"/>
        <v>1</v>
      </c>
      <c r="AE16" s="315" t="b">
        <f t="shared" si="28"/>
        <v>1</v>
      </c>
      <c r="AF16" s="315" t="b">
        <f t="shared" si="29"/>
        <v>1</v>
      </c>
      <c r="AG16" s="315" t="b">
        <f t="shared" si="30"/>
        <v>1</v>
      </c>
      <c r="AH16" s="315" t="b">
        <f t="shared" si="31"/>
        <v>1</v>
      </c>
      <c r="AI16" s="315" t="b">
        <f t="shared" si="32"/>
        <v>1</v>
      </c>
      <c r="AJ16" s="315" t="b">
        <f t="shared" si="33"/>
        <v>1</v>
      </c>
      <c r="AK16" s="315" t="b">
        <f t="shared" si="34"/>
        <v>1</v>
      </c>
      <c r="AL16" s="809" t="str">
        <f t="shared" si="35"/>
        <v/>
      </c>
      <c r="AM16" s="810" t="str">
        <f t="shared" si="36"/>
        <v/>
      </c>
      <c r="AN16" s="810" t="str">
        <f t="shared" si="37"/>
        <v/>
      </c>
      <c r="AO16" s="810" t="str">
        <f t="shared" si="38"/>
        <v/>
      </c>
      <c r="AP16" s="810" t="str">
        <f t="shared" si="39"/>
        <v/>
      </c>
      <c r="AQ16" s="810" t="str">
        <f t="shared" si="40"/>
        <v/>
      </c>
      <c r="AR16" s="810" t="str">
        <f t="shared" si="41"/>
        <v/>
      </c>
      <c r="AS16" s="810" t="str">
        <f t="shared" si="42"/>
        <v/>
      </c>
      <c r="AT16" s="810" t="str">
        <f t="shared" si="43"/>
        <v/>
      </c>
      <c r="AU16" s="810" t="str">
        <f t="shared" si="44"/>
        <v/>
      </c>
      <c r="AV16" s="810" t="str">
        <f t="shared" si="45"/>
        <v/>
      </c>
      <c r="AW16" s="814" t="str">
        <f t="shared" si="45"/>
        <v/>
      </c>
    </row>
    <row r="17" spans="1:49" s="315" customFormat="1">
      <c r="A17" s="794" t="str">
        <f t="shared" si="46"/>
        <v>Ca 1,</v>
      </c>
      <c r="B17" s="314" t="s">
        <v>259</v>
      </c>
      <c r="C17" s="314" t="str">
        <f t="shared" si="0"/>
        <v>chaát boùng (merlin brightener)
光亮劑</v>
      </c>
      <c r="D17" s="314" t="str">
        <f t="shared" si="1"/>
        <v>XL-001E</v>
      </c>
      <c r="E17" s="314" t="str">
        <f t="shared" si="2"/>
        <v>ml/1000
AH</v>
      </c>
      <c r="F17" s="314" t="str">
        <f t="shared" si="3"/>
        <v>30-50</v>
      </c>
      <c r="G17" s="783">
        <f t="shared" si="4"/>
        <v>0</v>
      </c>
      <c r="H17" s="783">
        <f t="shared" si="5"/>
        <v>0</v>
      </c>
      <c r="I17" s="788">
        <f t="shared" si="6"/>
        <v>0</v>
      </c>
      <c r="J17" s="783">
        <f t="shared" si="7"/>
        <v>0</v>
      </c>
      <c r="K17" s="783">
        <f t="shared" si="8"/>
        <v>0</v>
      </c>
      <c r="L17" s="788">
        <f t="shared" si="9"/>
        <v>0</v>
      </c>
      <c r="M17" s="783">
        <f t="shared" si="10"/>
        <v>0</v>
      </c>
      <c r="N17" s="783">
        <f t="shared" si="11"/>
        <v>0</v>
      </c>
      <c r="O17" s="788">
        <f t="shared" si="12"/>
        <v>0</v>
      </c>
      <c r="P17" s="783">
        <f t="shared" si="13"/>
        <v>0</v>
      </c>
      <c r="Q17" s="783">
        <f t="shared" si="14"/>
        <v>0</v>
      </c>
      <c r="R17" s="788" t="str">
        <f t="shared" si="15"/>
        <v xml:space="preserve">SHOP </v>
      </c>
      <c r="S17" s="783">
        <f t="shared" si="16"/>
        <v>0</v>
      </c>
      <c r="T17" s="776">
        <f t="shared" si="17"/>
        <v>0</v>
      </c>
      <c r="U17" s="777">
        <f t="shared" si="18"/>
        <v>0</v>
      </c>
      <c r="V17" s="783">
        <f t="shared" si="19"/>
        <v>0</v>
      </c>
      <c r="W17" s="776">
        <f t="shared" si="20"/>
        <v>0</v>
      </c>
      <c r="X17" s="777">
        <f t="shared" si="21"/>
        <v>0</v>
      </c>
      <c r="Z17" s="315" t="b">
        <f t="shared" si="23"/>
        <v>1</v>
      </c>
      <c r="AA17" s="315" t="b">
        <f t="shared" si="24"/>
        <v>1</v>
      </c>
      <c r="AB17" s="315" t="b">
        <f t="shared" si="25"/>
        <v>1</v>
      </c>
      <c r="AC17" s="315" t="b">
        <f t="shared" si="26"/>
        <v>1</v>
      </c>
      <c r="AD17" s="315" t="b">
        <f t="shared" si="27"/>
        <v>1</v>
      </c>
      <c r="AE17" s="315" t="b">
        <f t="shared" si="28"/>
        <v>1</v>
      </c>
      <c r="AF17" s="315" t="b">
        <f t="shared" si="29"/>
        <v>1</v>
      </c>
      <c r="AG17" s="315" t="b">
        <f t="shared" si="30"/>
        <v>1</v>
      </c>
      <c r="AH17" s="315" t="b">
        <f t="shared" si="31"/>
        <v>1</v>
      </c>
      <c r="AI17" s="315" t="b">
        <f t="shared" si="32"/>
        <v>1</v>
      </c>
      <c r="AJ17" s="315" t="b">
        <f t="shared" si="33"/>
        <v>1</v>
      </c>
      <c r="AK17" s="315" t="b">
        <f t="shared" si="34"/>
        <v>1</v>
      </c>
      <c r="AL17" s="809" t="str">
        <f t="shared" si="35"/>
        <v/>
      </c>
      <c r="AM17" s="810" t="str">
        <f t="shared" si="36"/>
        <v/>
      </c>
      <c r="AN17" s="810" t="str">
        <f t="shared" si="37"/>
        <v/>
      </c>
      <c r="AO17" s="810" t="str">
        <f t="shared" si="38"/>
        <v/>
      </c>
      <c r="AP17" s="810" t="str">
        <f t="shared" si="39"/>
        <v/>
      </c>
      <c r="AQ17" s="810" t="str">
        <f t="shared" si="40"/>
        <v/>
      </c>
      <c r="AR17" s="810" t="str">
        <f t="shared" si="41"/>
        <v/>
      </c>
      <c r="AS17" s="810" t="str">
        <f t="shared" si="42"/>
        <v/>
      </c>
      <c r="AT17" s="810" t="str">
        <f t="shared" si="43"/>
        <v/>
      </c>
      <c r="AU17" s="810" t="str">
        <f t="shared" si="44"/>
        <v/>
      </c>
      <c r="AV17" s="810" t="str">
        <f t="shared" si="45"/>
        <v/>
      </c>
      <c r="AW17" s="814" t="str">
        <f t="shared" si="45"/>
        <v/>
      </c>
    </row>
    <row r="18" spans="1:49" s="315" customFormat="1">
      <c r="A18" s="794" t="str">
        <f t="shared" si="46"/>
        <v>Ca 1,</v>
      </c>
      <c r="B18" s="314" t="s">
        <v>260</v>
      </c>
      <c r="C18" s="314" t="str">
        <f t="shared" si="0"/>
        <v>Xà bông (1)脫脂 
 CT-21A</v>
      </c>
      <c r="D18" s="314" t="str">
        <f t="shared" si="1"/>
        <v>XL-001F</v>
      </c>
      <c r="E18" s="314" t="str">
        <f t="shared" si="2"/>
        <v>g/L</v>
      </c>
      <c r="F18" s="314" t="str">
        <f t="shared" si="3"/>
        <v>60~80</v>
      </c>
      <c r="G18" s="783">
        <f t="shared" si="4"/>
        <v>11</v>
      </c>
      <c r="H18" s="783" t="str">
        <f t="shared" si="5"/>
        <v>+</v>
      </c>
      <c r="I18" s="788">
        <f t="shared" si="6"/>
        <v>0</v>
      </c>
      <c r="J18" s="783" t="str">
        <f t="shared" si="7"/>
        <v>kg</v>
      </c>
      <c r="K18" s="783">
        <f t="shared" si="8"/>
        <v>-7.2387840000000061</v>
      </c>
      <c r="L18" s="788" t="str">
        <f t="shared" si="9"/>
        <v>+</v>
      </c>
      <c r="M18" s="783" t="str">
        <f t="shared" si="10"/>
        <v/>
      </c>
      <c r="N18" s="783">
        <f t="shared" si="11"/>
        <v>72.363500000000002</v>
      </c>
      <c r="O18" s="788">
        <f t="shared" si="12"/>
        <v>-6.3649055000000052</v>
      </c>
      <c r="P18" s="783">
        <f t="shared" si="13"/>
        <v>0</v>
      </c>
      <c r="Q18" s="783">
        <f t="shared" si="14"/>
        <v>10.1</v>
      </c>
      <c r="R18" s="788">
        <f t="shared" si="15"/>
        <v>65.549000000000007</v>
      </c>
      <c r="S18" s="783" t="str">
        <f t="shared" si="16"/>
        <v>+</v>
      </c>
      <c r="T18" s="776" t="str">
        <f t="shared" si="17"/>
        <v>kg</v>
      </c>
      <c r="U18" s="777">
        <f t="shared" si="18"/>
        <v>10.199999999999999</v>
      </c>
      <c r="V18" s="783">
        <f t="shared" si="19"/>
        <v>10.238786000000019</v>
      </c>
      <c r="W18" s="776" t="str">
        <f t="shared" si="20"/>
        <v/>
      </c>
      <c r="X18" s="777" t="str">
        <f t="shared" si="21"/>
        <v>kg</v>
      </c>
      <c r="Z18" s="315" t="b">
        <f t="shared" si="23"/>
        <v>1</v>
      </c>
      <c r="AA18" s="315" t="b">
        <f t="shared" si="24"/>
        <v>0</v>
      </c>
      <c r="AB18" s="315" t="b">
        <f t="shared" si="25"/>
        <v>0</v>
      </c>
      <c r="AC18" s="315" t="b">
        <f t="shared" si="26"/>
        <v>1</v>
      </c>
      <c r="AD18" s="315" t="b">
        <f t="shared" si="27"/>
        <v>0</v>
      </c>
      <c r="AE18" s="315" t="b">
        <f t="shared" si="28"/>
        <v>1</v>
      </c>
      <c r="AF18" s="315" t="b">
        <f t="shared" si="29"/>
        <v>1</v>
      </c>
      <c r="AG18" s="315" t="b">
        <f t="shared" si="30"/>
        <v>1</v>
      </c>
      <c r="AH18" s="315" t="b">
        <f t="shared" si="31"/>
        <v>0</v>
      </c>
      <c r="AI18" s="315" t="b">
        <f t="shared" si="32"/>
        <v>0</v>
      </c>
      <c r="AJ18" s="315" t="b">
        <f t="shared" si="33"/>
        <v>1</v>
      </c>
      <c r="AK18" s="315" t="b">
        <f t="shared" si="34"/>
        <v>0</v>
      </c>
      <c r="AL18" s="809" t="str">
        <f t="shared" si="35"/>
        <v/>
      </c>
      <c r="AM18" s="810">
        <f t="shared" si="36"/>
        <v>1</v>
      </c>
      <c r="AN18" s="810">
        <f t="shared" si="37"/>
        <v>1</v>
      </c>
      <c r="AO18" s="810" t="str">
        <f t="shared" si="38"/>
        <v/>
      </c>
      <c r="AP18" s="810">
        <f t="shared" si="39"/>
        <v>1</v>
      </c>
      <c r="AQ18" s="810" t="str">
        <f t="shared" si="40"/>
        <v/>
      </c>
      <c r="AR18" s="810" t="str">
        <f t="shared" si="41"/>
        <v/>
      </c>
      <c r="AS18" s="810" t="str">
        <f t="shared" si="42"/>
        <v/>
      </c>
      <c r="AT18" s="810">
        <f t="shared" si="43"/>
        <v>1</v>
      </c>
      <c r="AU18" s="810">
        <f t="shared" si="44"/>
        <v>1</v>
      </c>
      <c r="AV18" s="810" t="str">
        <f t="shared" si="45"/>
        <v/>
      </c>
      <c r="AW18" s="814">
        <f t="shared" si="45"/>
        <v>1</v>
      </c>
    </row>
    <row r="19" spans="1:49" s="315" customFormat="1">
      <c r="A19" s="794" t="str">
        <f t="shared" si="46"/>
        <v>Ca 1,</v>
      </c>
      <c r="B19" s="314" t="s">
        <v>261</v>
      </c>
      <c r="C19" s="314" t="str">
        <f t="shared" si="0"/>
        <v>Xà bông (2)脫脂 
 CT-21A</v>
      </c>
      <c r="D19" s="314" t="str">
        <f t="shared" si="1"/>
        <v>XL-001F</v>
      </c>
      <c r="E19" s="314" t="str">
        <f t="shared" si="2"/>
        <v>g/L</v>
      </c>
      <c r="F19" s="314" t="str">
        <f t="shared" si="3"/>
        <v>60~80</v>
      </c>
      <c r="G19" s="783">
        <f t="shared" si="4"/>
        <v>11.1</v>
      </c>
      <c r="H19" s="783" t="str">
        <f t="shared" si="5"/>
        <v>+</v>
      </c>
      <c r="I19" s="788">
        <f t="shared" si="6"/>
        <v>0</v>
      </c>
      <c r="J19" s="783" t="str">
        <f t="shared" si="7"/>
        <v>kg</v>
      </c>
      <c r="K19" s="783">
        <f t="shared" si="8"/>
        <v>-16.391147500000017</v>
      </c>
      <c r="L19" s="788" t="str">
        <f t="shared" si="9"/>
        <v>+</v>
      </c>
      <c r="M19" s="783" t="str">
        <f t="shared" si="10"/>
        <v/>
      </c>
      <c r="N19" s="783">
        <f t="shared" si="11"/>
        <v>74.635000000000005</v>
      </c>
      <c r="O19" s="788">
        <f t="shared" si="12"/>
        <v>-15.318675000000017</v>
      </c>
      <c r="P19" s="783">
        <f t="shared" si="13"/>
        <v>0</v>
      </c>
      <c r="Q19" s="783">
        <f t="shared" si="14"/>
        <v>11.4</v>
      </c>
      <c r="R19" s="788">
        <f t="shared" si="15"/>
        <v>73.986000000000004</v>
      </c>
      <c r="S19" s="783" t="str">
        <f t="shared" si="16"/>
        <v>+</v>
      </c>
      <c r="T19" s="776" t="str">
        <f t="shared" si="17"/>
        <v>kg</v>
      </c>
      <c r="U19" s="777">
        <f t="shared" si="18"/>
        <v>11.5</v>
      </c>
      <c r="V19" s="783">
        <f t="shared" si="19"/>
        <v>-15.318675000000017</v>
      </c>
      <c r="W19" s="776" t="str">
        <f t="shared" si="20"/>
        <v/>
      </c>
      <c r="X19" s="777" t="str">
        <f t="shared" si="21"/>
        <v>kg</v>
      </c>
      <c r="Z19" s="315" t="b">
        <f t="shared" si="23"/>
        <v>1</v>
      </c>
      <c r="AA19" s="315" t="b">
        <f t="shared" si="24"/>
        <v>0</v>
      </c>
      <c r="AB19" s="315" t="b">
        <f t="shared" si="25"/>
        <v>0</v>
      </c>
      <c r="AC19" s="315" t="b">
        <f t="shared" si="26"/>
        <v>1</v>
      </c>
      <c r="AD19" s="315" t="b">
        <f t="shared" si="27"/>
        <v>0</v>
      </c>
      <c r="AE19" s="315" t="b">
        <f t="shared" si="28"/>
        <v>1</v>
      </c>
      <c r="AF19" s="315" t="b">
        <f t="shared" si="29"/>
        <v>1</v>
      </c>
      <c r="AG19" s="315" t="b">
        <f t="shared" si="30"/>
        <v>1</v>
      </c>
      <c r="AH19" s="315" t="b">
        <f t="shared" si="31"/>
        <v>0</v>
      </c>
      <c r="AI19" s="315" t="b">
        <f t="shared" si="32"/>
        <v>0</v>
      </c>
      <c r="AJ19" s="315" t="b">
        <f t="shared" si="33"/>
        <v>1</v>
      </c>
      <c r="AK19" s="315" t="b">
        <f t="shared" si="34"/>
        <v>0</v>
      </c>
      <c r="AL19" s="809" t="str">
        <f t="shared" si="35"/>
        <v/>
      </c>
      <c r="AM19" s="810">
        <f t="shared" si="36"/>
        <v>1</v>
      </c>
      <c r="AN19" s="810">
        <f t="shared" si="37"/>
        <v>1</v>
      </c>
      <c r="AO19" s="810" t="str">
        <f t="shared" si="38"/>
        <v/>
      </c>
      <c r="AP19" s="810">
        <f t="shared" si="39"/>
        <v>1</v>
      </c>
      <c r="AQ19" s="810" t="str">
        <f t="shared" si="40"/>
        <v/>
      </c>
      <c r="AR19" s="810" t="str">
        <f t="shared" si="41"/>
        <v/>
      </c>
      <c r="AS19" s="810" t="str">
        <f t="shared" si="42"/>
        <v/>
      </c>
      <c r="AT19" s="810">
        <f t="shared" si="43"/>
        <v>1</v>
      </c>
      <c r="AU19" s="810">
        <f t="shared" si="44"/>
        <v>1</v>
      </c>
      <c r="AV19" s="810" t="str">
        <f t="shared" si="45"/>
        <v/>
      </c>
      <c r="AW19" s="814">
        <f t="shared" si="45"/>
        <v>1</v>
      </c>
    </row>
    <row r="20" spans="1:49" s="315" customFormat="1">
      <c r="A20" s="794" t="str">
        <f t="shared" si="46"/>
        <v>Ca 1,</v>
      </c>
      <c r="B20" s="314" t="s">
        <v>262</v>
      </c>
      <c r="C20" s="314" t="str">
        <f t="shared" si="0"/>
        <v>điện giải(1)+電解 
EC-508A</v>
      </c>
      <c r="D20" s="314" t="str">
        <f t="shared" si="1"/>
        <v>XL-001F</v>
      </c>
      <c r="E20" s="314" t="str">
        <f t="shared" si="2"/>
        <v>g/L</v>
      </c>
      <c r="F20" s="314" t="str">
        <f t="shared" si="3"/>
        <v>50~70</v>
      </c>
      <c r="G20" s="783">
        <f t="shared" si="4"/>
        <v>11.95</v>
      </c>
      <c r="H20" s="783" t="str">
        <f t="shared" si="5"/>
        <v>+</v>
      </c>
      <c r="I20" s="788">
        <f t="shared" si="6"/>
        <v>5.5383960000000041</v>
      </c>
      <c r="J20" s="783" t="str">
        <f t="shared" si="7"/>
        <v>kg</v>
      </c>
      <c r="K20" s="783">
        <f t="shared" si="8"/>
        <v>-6.9360000000002628E-2</v>
      </c>
      <c r="L20" s="788" t="str">
        <f t="shared" si="9"/>
        <v>+</v>
      </c>
      <c r="M20" s="783" t="str">
        <f t="shared" si="10"/>
        <v/>
      </c>
      <c r="N20" s="783">
        <f t="shared" si="11"/>
        <v>61.446000000000005</v>
      </c>
      <c r="O20" s="788">
        <f t="shared" si="12"/>
        <v>-1.6715760000000059</v>
      </c>
      <c r="P20" s="783">
        <f t="shared" si="13"/>
        <v>0</v>
      </c>
      <c r="Q20" s="783">
        <f t="shared" si="14"/>
        <v>13.5</v>
      </c>
      <c r="R20" s="788">
        <f t="shared" si="15"/>
        <v>62.370000000000005</v>
      </c>
      <c r="S20" s="783" t="str">
        <f t="shared" si="16"/>
        <v>+</v>
      </c>
      <c r="T20" s="776" t="str">
        <f t="shared" si="17"/>
        <v>kg</v>
      </c>
      <c r="U20" s="777">
        <f t="shared" si="18"/>
        <v>13.2</v>
      </c>
      <c r="V20" s="783">
        <f t="shared" si="19"/>
        <v>-1.1375039999999939</v>
      </c>
      <c r="W20" s="776" t="str">
        <f t="shared" si="20"/>
        <v/>
      </c>
      <c r="X20" s="777" t="str">
        <f t="shared" si="21"/>
        <v>kg</v>
      </c>
      <c r="Z20" s="315" t="b">
        <f t="shared" si="23"/>
        <v>1</v>
      </c>
      <c r="AA20" s="315" t="b">
        <f t="shared" si="24"/>
        <v>0</v>
      </c>
      <c r="AB20" s="315" t="b">
        <f t="shared" si="25"/>
        <v>0</v>
      </c>
      <c r="AC20" s="315" t="b">
        <f t="shared" si="26"/>
        <v>1</v>
      </c>
      <c r="AD20" s="315" t="b">
        <f t="shared" si="27"/>
        <v>0</v>
      </c>
      <c r="AE20" s="315" t="b">
        <f t="shared" si="28"/>
        <v>1</v>
      </c>
      <c r="AF20" s="315" t="b">
        <f t="shared" si="29"/>
        <v>1</v>
      </c>
      <c r="AG20" s="315" t="b">
        <f t="shared" si="30"/>
        <v>1</v>
      </c>
      <c r="AH20" s="315" t="b">
        <f t="shared" si="31"/>
        <v>0</v>
      </c>
      <c r="AI20" s="315" t="b">
        <f t="shared" si="32"/>
        <v>0</v>
      </c>
      <c r="AJ20" s="315" t="b">
        <f t="shared" si="33"/>
        <v>1</v>
      </c>
      <c r="AK20" s="315" t="b">
        <f t="shared" si="34"/>
        <v>0</v>
      </c>
      <c r="AL20" s="809" t="str">
        <f t="shared" si="35"/>
        <v/>
      </c>
      <c r="AM20" s="810">
        <f t="shared" si="36"/>
        <v>1</v>
      </c>
      <c r="AN20" s="810">
        <f t="shared" si="37"/>
        <v>1</v>
      </c>
      <c r="AO20" s="810" t="str">
        <f t="shared" si="38"/>
        <v/>
      </c>
      <c r="AP20" s="810">
        <f t="shared" si="39"/>
        <v>1</v>
      </c>
      <c r="AQ20" s="810" t="str">
        <f t="shared" si="40"/>
        <v/>
      </c>
      <c r="AR20" s="810" t="str">
        <f t="shared" si="41"/>
        <v/>
      </c>
      <c r="AS20" s="810" t="str">
        <f t="shared" si="42"/>
        <v/>
      </c>
      <c r="AT20" s="810">
        <f t="shared" si="43"/>
        <v>1</v>
      </c>
      <c r="AU20" s="810">
        <f t="shared" si="44"/>
        <v>1</v>
      </c>
      <c r="AV20" s="810" t="str">
        <f t="shared" si="45"/>
        <v/>
      </c>
      <c r="AW20" s="814">
        <f t="shared" si="45"/>
        <v>1</v>
      </c>
    </row>
    <row r="21" spans="1:49" s="315" customFormat="1">
      <c r="A21" s="794" t="str">
        <f t="shared" si="46"/>
        <v>Ca 1,</v>
      </c>
      <c r="B21" s="314" t="s">
        <v>263</v>
      </c>
      <c r="C21" s="314" t="str">
        <f t="shared" si="0"/>
        <v xml:space="preserve">điện giải (2)+電解 
EC-508A
 </v>
      </c>
      <c r="D21" s="314" t="str">
        <f t="shared" si="1"/>
        <v>XL-001F</v>
      </c>
      <c r="E21" s="314" t="str">
        <f t="shared" si="2"/>
        <v>g/L</v>
      </c>
      <c r="F21" s="314" t="str">
        <f t="shared" si="3"/>
        <v>50~70</v>
      </c>
      <c r="G21" s="783">
        <f t="shared" si="4"/>
        <v>12.7</v>
      </c>
      <c r="H21" s="783" t="str">
        <f t="shared" si="5"/>
        <v>+</v>
      </c>
      <c r="I21" s="788">
        <f t="shared" si="6"/>
        <v>1.9346340000000006</v>
      </c>
      <c r="J21" s="783" t="str">
        <f t="shared" si="7"/>
        <v>kg</v>
      </c>
      <c r="K21" s="783">
        <f t="shared" si="8"/>
        <v>-3.7948590000000091</v>
      </c>
      <c r="L21" s="788" t="str">
        <f t="shared" si="9"/>
        <v>+</v>
      </c>
      <c r="M21" s="783" t="str">
        <f t="shared" si="10"/>
        <v/>
      </c>
      <c r="N21" s="783">
        <f t="shared" si="11"/>
        <v>61.446000000000005</v>
      </c>
      <c r="O21" s="788">
        <f t="shared" si="12"/>
        <v>-2.1097140000000074</v>
      </c>
      <c r="P21" s="783">
        <f t="shared" si="13"/>
        <v>0</v>
      </c>
      <c r="Q21" s="783">
        <f t="shared" si="14"/>
        <v>12.5</v>
      </c>
      <c r="R21" s="788">
        <f t="shared" si="15"/>
        <v>57.75</v>
      </c>
      <c r="S21" s="783" t="str">
        <f t="shared" si="16"/>
        <v>+</v>
      </c>
      <c r="T21" s="776" t="str">
        <f t="shared" si="17"/>
        <v>kg</v>
      </c>
      <c r="U21" s="777">
        <f t="shared" si="18"/>
        <v>14.2</v>
      </c>
      <c r="V21" s="783">
        <f t="shared" si="19"/>
        <v>-8.1762359999999994</v>
      </c>
      <c r="W21" s="776" t="str">
        <f t="shared" si="20"/>
        <v/>
      </c>
      <c r="X21" s="777" t="str">
        <f t="shared" si="21"/>
        <v>kg</v>
      </c>
      <c r="Z21" s="315" t="b">
        <f t="shared" si="23"/>
        <v>1</v>
      </c>
      <c r="AA21" s="315" t="b">
        <f t="shared" si="24"/>
        <v>0</v>
      </c>
      <c r="AB21" s="315" t="b">
        <f t="shared" si="25"/>
        <v>0</v>
      </c>
      <c r="AC21" s="315" t="b">
        <f t="shared" si="26"/>
        <v>1</v>
      </c>
      <c r="AD21" s="315" t="b">
        <f t="shared" si="27"/>
        <v>0</v>
      </c>
      <c r="AE21" s="315" t="b">
        <f t="shared" si="28"/>
        <v>1</v>
      </c>
      <c r="AF21" s="315" t="b">
        <f t="shared" si="29"/>
        <v>1</v>
      </c>
      <c r="AG21" s="315" t="b">
        <f t="shared" si="30"/>
        <v>1</v>
      </c>
      <c r="AH21" s="315" t="b">
        <f t="shared" si="31"/>
        <v>0</v>
      </c>
      <c r="AI21" s="315" t="b">
        <f t="shared" si="32"/>
        <v>0</v>
      </c>
      <c r="AJ21" s="315" t="b">
        <f t="shared" si="33"/>
        <v>1</v>
      </c>
      <c r="AK21" s="315" t="b">
        <f t="shared" si="34"/>
        <v>0</v>
      </c>
      <c r="AL21" s="809" t="str">
        <f t="shared" si="35"/>
        <v/>
      </c>
      <c r="AM21" s="810">
        <f t="shared" si="36"/>
        <v>1</v>
      </c>
      <c r="AN21" s="810">
        <f t="shared" si="37"/>
        <v>1</v>
      </c>
      <c r="AO21" s="810" t="str">
        <f t="shared" si="38"/>
        <v/>
      </c>
      <c r="AP21" s="810">
        <f t="shared" si="39"/>
        <v>1</v>
      </c>
      <c r="AQ21" s="810" t="str">
        <f t="shared" si="40"/>
        <v/>
      </c>
      <c r="AR21" s="810" t="str">
        <f t="shared" si="41"/>
        <v/>
      </c>
      <c r="AS21" s="810" t="str">
        <f t="shared" si="42"/>
        <v/>
      </c>
      <c r="AT21" s="810">
        <f t="shared" si="43"/>
        <v>1</v>
      </c>
      <c r="AU21" s="810">
        <f t="shared" si="44"/>
        <v>1</v>
      </c>
      <c r="AV21" s="810" t="str">
        <f t="shared" si="45"/>
        <v/>
      </c>
      <c r="AW21" s="814">
        <f t="shared" si="45"/>
        <v>1</v>
      </c>
    </row>
    <row r="22" spans="1:49" s="315" customFormat="1">
      <c r="A22" s="794" t="str">
        <f t="shared" si="46"/>
        <v>Ca 1,</v>
      </c>
      <c r="B22" s="314" t="s">
        <v>264</v>
      </c>
      <c r="C22" s="314" t="str">
        <f t="shared" si="0"/>
        <v>Nồng độ    NaOH
氫氧化鈉</v>
      </c>
      <c r="D22" s="314" t="str">
        <f t="shared" si="1"/>
        <v>XL-001F</v>
      </c>
      <c r="E22" s="314" t="str">
        <f t="shared" si="2"/>
        <v>g/L</v>
      </c>
      <c r="F22" s="314" t="str">
        <f t="shared" si="3"/>
        <v>130 - 150</v>
      </c>
      <c r="G22" s="783">
        <f t="shared" si="4"/>
        <v>18.100000000000001</v>
      </c>
      <c r="H22" s="783" t="str">
        <f t="shared" si="5"/>
        <v>+</v>
      </c>
      <c r="I22" s="788">
        <f t="shared" si="6"/>
        <v>0</v>
      </c>
      <c r="J22" s="783" t="str">
        <f t="shared" si="7"/>
        <v>kg</v>
      </c>
      <c r="K22" s="783">
        <f t="shared" si="8"/>
        <v>-95.764800000000221</v>
      </c>
      <c r="L22" s="788" t="str">
        <f t="shared" si="9"/>
        <v>+</v>
      </c>
      <c r="M22" s="783" t="str">
        <f t="shared" si="10"/>
        <v/>
      </c>
      <c r="N22" s="783">
        <f t="shared" si="11"/>
        <v>143.19999999999999</v>
      </c>
      <c r="O22" s="788">
        <f t="shared" si="12"/>
        <v>-63.843199999999769</v>
      </c>
      <c r="P22" s="783">
        <f t="shared" si="13"/>
        <v>0</v>
      </c>
      <c r="Q22" s="783">
        <f t="shared" si="14"/>
        <v>17.899999999999999</v>
      </c>
      <c r="R22" s="788">
        <f t="shared" si="15"/>
        <v>143.19999999999999</v>
      </c>
      <c r="S22" s="783" t="str">
        <f t="shared" si="16"/>
        <v>+</v>
      </c>
      <c r="T22" s="776" t="str">
        <f t="shared" si="17"/>
        <v>kg</v>
      </c>
      <c r="U22" s="777">
        <f t="shared" si="18"/>
        <v>18</v>
      </c>
      <c r="V22" s="783">
        <f t="shared" si="19"/>
        <v>-79.804000000000002</v>
      </c>
      <c r="W22" s="776" t="str">
        <f t="shared" si="20"/>
        <v/>
      </c>
      <c r="X22" s="777" t="str">
        <f t="shared" si="21"/>
        <v>kg</v>
      </c>
      <c r="Z22" s="315" t="b">
        <f t="shared" si="23"/>
        <v>1</v>
      </c>
      <c r="AA22" s="315" t="b">
        <f t="shared" si="24"/>
        <v>0</v>
      </c>
      <c r="AB22" s="315" t="b">
        <f t="shared" si="25"/>
        <v>0</v>
      </c>
      <c r="AC22" s="315" t="b">
        <f t="shared" si="26"/>
        <v>1</v>
      </c>
      <c r="AD22" s="315" t="b">
        <f t="shared" si="27"/>
        <v>0</v>
      </c>
      <c r="AE22" s="315" t="b">
        <f t="shared" si="28"/>
        <v>1</v>
      </c>
      <c r="AF22" s="315" t="b">
        <f t="shared" si="29"/>
        <v>1</v>
      </c>
      <c r="AG22" s="315" t="b">
        <f t="shared" si="30"/>
        <v>1</v>
      </c>
      <c r="AH22" s="315" t="b">
        <f t="shared" si="31"/>
        <v>0</v>
      </c>
      <c r="AI22" s="315" t="b">
        <f t="shared" si="32"/>
        <v>0</v>
      </c>
      <c r="AJ22" s="315" t="b">
        <f t="shared" si="33"/>
        <v>1</v>
      </c>
      <c r="AK22" s="315" t="b">
        <f t="shared" si="34"/>
        <v>0</v>
      </c>
      <c r="AL22" s="809" t="str">
        <f t="shared" si="35"/>
        <v/>
      </c>
      <c r="AM22" s="810">
        <f t="shared" si="36"/>
        <v>1</v>
      </c>
      <c r="AN22" s="810">
        <f t="shared" si="37"/>
        <v>1</v>
      </c>
      <c r="AO22" s="810" t="str">
        <f t="shared" si="38"/>
        <v/>
      </c>
      <c r="AP22" s="810">
        <f t="shared" si="39"/>
        <v>1</v>
      </c>
      <c r="AQ22" s="810" t="str">
        <f t="shared" si="40"/>
        <v/>
      </c>
      <c r="AR22" s="810" t="str">
        <f t="shared" si="41"/>
        <v/>
      </c>
      <c r="AS22" s="810" t="str">
        <f t="shared" si="42"/>
        <v/>
      </c>
      <c r="AT22" s="810">
        <f t="shared" si="43"/>
        <v>1</v>
      </c>
      <c r="AU22" s="810">
        <f t="shared" si="44"/>
        <v>1</v>
      </c>
      <c r="AV22" s="810" t="str">
        <f t="shared" si="45"/>
        <v/>
      </c>
      <c r="AW22" s="814">
        <f t="shared" si="45"/>
        <v>1</v>
      </c>
    </row>
    <row r="23" spans="1:49" s="315" customFormat="1">
      <c r="A23" s="794" t="str">
        <f t="shared" si="46"/>
        <v>Ca 1,</v>
      </c>
      <c r="B23" s="314" t="s">
        <v>265</v>
      </c>
      <c r="C23" s="314" t="str">
        <f t="shared" si="0"/>
        <v>Nồng độ Zn  鋅
(1 pcs Zn=25kg)</v>
      </c>
      <c r="D23" s="314" t="str">
        <f t="shared" si="1"/>
        <v>XL-001F</v>
      </c>
      <c r="E23" s="314" t="str">
        <f t="shared" si="2"/>
        <v>g/L</v>
      </c>
      <c r="F23" s="314" t="str">
        <f t="shared" si="3"/>
        <v>8~12</v>
      </c>
      <c r="G23" s="783">
        <f t="shared" si="4"/>
        <v>7.7</v>
      </c>
      <c r="H23" s="783" t="str">
        <f t="shared" si="5"/>
        <v>+</v>
      </c>
      <c r="I23" s="788">
        <f t="shared" si="6"/>
        <v>0</v>
      </c>
      <c r="J23" s="783" t="str">
        <f t="shared" si="7"/>
        <v>kg</v>
      </c>
      <c r="K23" s="783">
        <f t="shared" si="8"/>
        <v>4.9877500000000001</v>
      </c>
      <c r="L23" s="788" t="str">
        <f t="shared" si="9"/>
        <v>+</v>
      </c>
      <c r="M23" s="783" t="str">
        <f t="shared" si="10"/>
        <v/>
      </c>
      <c r="N23" s="783">
        <f t="shared" si="11"/>
        <v>9.75</v>
      </c>
      <c r="O23" s="788">
        <f t="shared" si="12"/>
        <v>4.9877500000000001</v>
      </c>
      <c r="P23" s="783">
        <f t="shared" si="13"/>
        <v>4.9877500000000001</v>
      </c>
      <c r="Q23" s="783">
        <f t="shared" si="14"/>
        <v>7.6</v>
      </c>
      <c r="R23" s="788">
        <f t="shared" si="15"/>
        <v>9.879999999999999</v>
      </c>
      <c r="S23" s="783" t="str">
        <f t="shared" si="16"/>
        <v>+</v>
      </c>
      <c r="T23" s="776" t="str">
        <f t="shared" si="17"/>
        <v>kg</v>
      </c>
      <c r="U23" s="777">
        <f t="shared" si="18"/>
        <v>7.6</v>
      </c>
      <c r="V23" s="783">
        <f t="shared" si="19"/>
        <v>2.39412000000002</v>
      </c>
      <c r="W23" s="776" t="str">
        <f t="shared" si="20"/>
        <v/>
      </c>
      <c r="X23" s="777" t="str">
        <f t="shared" si="21"/>
        <v>kg</v>
      </c>
      <c r="Z23" s="315" t="b">
        <f t="shared" si="23"/>
        <v>1</v>
      </c>
      <c r="AA23" s="315" t="b">
        <f t="shared" si="24"/>
        <v>0</v>
      </c>
      <c r="AB23" s="315" t="b">
        <f t="shared" si="25"/>
        <v>0</v>
      </c>
      <c r="AC23" s="315" t="b">
        <f t="shared" si="26"/>
        <v>1</v>
      </c>
      <c r="AD23" s="315" t="b">
        <f t="shared" si="27"/>
        <v>0</v>
      </c>
      <c r="AE23" s="315" t="b">
        <f t="shared" si="28"/>
        <v>1</v>
      </c>
      <c r="AF23" s="315" t="b">
        <f t="shared" si="29"/>
        <v>1</v>
      </c>
      <c r="AG23" s="315" t="b">
        <f t="shared" si="30"/>
        <v>1</v>
      </c>
      <c r="AH23" s="315" t="b">
        <f t="shared" si="31"/>
        <v>0</v>
      </c>
      <c r="AI23" s="315" t="b">
        <f t="shared" si="32"/>
        <v>0</v>
      </c>
      <c r="AJ23" s="315" t="b">
        <f t="shared" si="33"/>
        <v>1</v>
      </c>
      <c r="AK23" s="315" t="b">
        <f t="shared" si="34"/>
        <v>0</v>
      </c>
      <c r="AL23" s="809" t="str">
        <f t="shared" si="35"/>
        <v/>
      </c>
      <c r="AM23" s="810">
        <f t="shared" si="36"/>
        <v>1</v>
      </c>
      <c r="AN23" s="810">
        <f t="shared" si="37"/>
        <v>1</v>
      </c>
      <c r="AO23" s="810" t="str">
        <f t="shared" si="38"/>
        <v/>
      </c>
      <c r="AP23" s="810">
        <f t="shared" si="39"/>
        <v>1</v>
      </c>
      <c r="AQ23" s="810" t="str">
        <f t="shared" si="40"/>
        <v/>
      </c>
      <c r="AR23" s="810" t="str">
        <f t="shared" si="41"/>
        <v/>
      </c>
      <c r="AS23" s="810" t="str">
        <f t="shared" si="42"/>
        <v/>
      </c>
      <c r="AT23" s="810">
        <f t="shared" si="43"/>
        <v>1</v>
      </c>
      <c r="AU23" s="810">
        <f t="shared" si="44"/>
        <v>1</v>
      </c>
      <c r="AV23" s="810" t="str">
        <f t="shared" si="45"/>
        <v/>
      </c>
      <c r="AW23" s="814">
        <f t="shared" si="45"/>
        <v>1</v>
      </c>
    </row>
    <row r="24" spans="1:49" s="315" customFormat="1">
      <c r="A24" s="794" t="str">
        <f t="shared" si="46"/>
        <v>Ca 1,</v>
      </c>
      <c r="B24" s="314" t="s">
        <v>266</v>
      </c>
      <c r="C24" s="314" t="str">
        <f t="shared" si="0"/>
        <v>Nồng độ Cr2O3 三價鉻
LANTHANE 318</v>
      </c>
      <c r="D24" s="314" t="str">
        <f t="shared" si="1"/>
        <v>XL-001F</v>
      </c>
      <c r="E24" s="314" t="str">
        <f t="shared" si="2"/>
        <v>%</v>
      </c>
      <c r="F24" s="314" t="str">
        <f t="shared" si="3"/>
        <v xml:space="preserve">6~10 </v>
      </c>
      <c r="G24" s="783">
        <f t="shared" si="4"/>
        <v>19.5</v>
      </c>
      <c r="H24" s="783" t="str">
        <f t="shared" si="5"/>
        <v>+</v>
      </c>
      <c r="I24" s="788">
        <f t="shared" si="6"/>
        <v>0</v>
      </c>
      <c r="J24" s="783" t="str">
        <f t="shared" si="7"/>
        <v>L</v>
      </c>
      <c r="K24" s="783">
        <f t="shared" si="8"/>
        <v>-0.75503250000000022</v>
      </c>
      <c r="L24" s="788" t="str">
        <f t="shared" si="9"/>
        <v>+</v>
      </c>
      <c r="M24" s="783" t="str">
        <f t="shared" si="10"/>
        <v/>
      </c>
      <c r="N24" s="783">
        <f t="shared" si="11"/>
        <v>7.2160500000000001</v>
      </c>
      <c r="O24" s="788">
        <f t="shared" si="12"/>
        <v>-1.2422875000000004</v>
      </c>
      <c r="P24" s="783">
        <f t="shared" si="13"/>
        <v>0</v>
      </c>
      <c r="Q24" s="783">
        <f t="shared" si="14"/>
        <v>19.399999999999999</v>
      </c>
      <c r="R24" s="788">
        <f t="shared" si="15"/>
        <v>7.1736800000000001</v>
      </c>
      <c r="S24" s="783" t="str">
        <f t="shared" si="16"/>
        <v>+</v>
      </c>
      <c r="T24" s="776" t="str">
        <f t="shared" si="17"/>
        <v>L</v>
      </c>
      <c r="U24" s="777">
        <f t="shared" si="18"/>
        <v>19</v>
      </c>
      <c r="V24" s="783">
        <f t="shared" si="19"/>
        <v>-2.4149999999999894E-2</v>
      </c>
      <c r="W24" s="776" t="str">
        <f t="shared" si="20"/>
        <v/>
      </c>
      <c r="X24" s="777" t="str">
        <f t="shared" si="21"/>
        <v>L</v>
      </c>
      <c r="Z24" s="315" t="b">
        <f t="shared" si="23"/>
        <v>1</v>
      </c>
      <c r="AA24" s="315" t="b">
        <f t="shared" si="24"/>
        <v>0</v>
      </c>
      <c r="AB24" s="315" t="b">
        <f t="shared" si="25"/>
        <v>0</v>
      </c>
      <c r="AC24" s="315" t="b">
        <f t="shared" si="26"/>
        <v>1</v>
      </c>
      <c r="AD24" s="315" t="b">
        <f t="shared" si="27"/>
        <v>0</v>
      </c>
      <c r="AE24" s="315" t="b">
        <f t="shared" si="28"/>
        <v>1</v>
      </c>
      <c r="AF24" s="315" t="b">
        <f t="shared" si="29"/>
        <v>1</v>
      </c>
      <c r="AG24" s="315" t="b">
        <f t="shared" si="30"/>
        <v>1</v>
      </c>
      <c r="AH24" s="315" t="b">
        <f t="shared" si="31"/>
        <v>0</v>
      </c>
      <c r="AI24" s="315" t="b">
        <f t="shared" si="32"/>
        <v>0</v>
      </c>
      <c r="AJ24" s="315" t="b">
        <f t="shared" si="33"/>
        <v>1</v>
      </c>
      <c r="AK24" s="315" t="b">
        <f t="shared" si="34"/>
        <v>0</v>
      </c>
      <c r="AL24" s="809" t="str">
        <f t="shared" si="35"/>
        <v/>
      </c>
      <c r="AM24" s="810">
        <f t="shared" si="36"/>
        <v>1</v>
      </c>
      <c r="AN24" s="810">
        <f t="shared" si="37"/>
        <v>1</v>
      </c>
      <c r="AO24" s="810" t="str">
        <f t="shared" si="38"/>
        <v/>
      </c>
      <c r="AP24" s="810">
        <f t="shared" si="39"/>
        <v>1</v>
      </c>
      <c r="AQ24" s="810" t="str">
        <f t="shared" si="40"/>
        <v/>
      </c>
      <c r="AR24" s="810" t="str">
        <f t="shared" si="41"/>
        <v/>
      </c>
      <c r="AS24" s="810" t="str">
        <f t="shared" si="42"/>
        <v/>
      </c>
      <c r="AT24" s="810">
        <f t="shared" si="43"/>
        <v>1</v>
      </c>
      <c r="AU24" s="810">
        <f t="shared" si="44"/>
        <v>1</v>
      </c>
      <c r="AV24" s="810" t="str">
        <f t="shared" si="45"/>
        <v/>
      </c>
      <c r="AW24" s="814">
        <f t="shared" si="45"/>
        <v>1</v>
      </c>
    </row>
    <row r="25" spans="1:49" s="315" customFormat="1">
      <c r="A25" s="794" t="str">
        <f t="shared" si="46"/>
        <v>Ca 1,</v>
      </c>
      <c r="B25" s="314" t="s">
        <v>267</v>
      </c>
      <c r="C25" s="314" t="str">
        <f t="shared" si="0"/>
        <v>Pha mới: 2024/07/28</v>
      </c>
      <c r="D25" s="314" t="str">
        <f t="shared" si="1"/>
        <v>XL-001F</v>
      </c>
      <c r="E25" s="314" t="str">
        <f t="shared" si="2"/>
        <v>pH</v>
      </c>
      <c r="F25" s="314" t="str">
        <f t="shared" si="3"/>
        <v>2~2.5</v>
      </c>
      <c r="G25" s="783">
        <f t="shared" si="4"/>
        <v>0</v>
      </c>
      <c r="H25" s="783">
        <f t="shared" si="5"/>
        <v>0</v>
      </c>
      <c r="I25" s="788">
        <f t="shared" si="6"/>
        <v>0</v>
      </c>
      <c r="J25" s="783">
        <f t="shared" si="7"/>
        <v>0</v>
      </c>
      <c r="K25" s="783">
        <f t="shared" si="8"/>
        <v>0</v>
      </c>
      <c r="L25" s="788">
        <f t="shared" si="9"/>
        <v>0</v>
      </c>
      <c r="M25" s="783" t="str">
        <f t="shared" si="10"/>
        <v/>
      </c>
      <c r="N25" s="783">
        <f t="shared" si="11"/>
        <v>2.35</v>
      </c>
      <c r="O25" s="788">
        <f t="shared" si="12"/>
        <v>0</v>
      </c>
      <c r="P25" s="783">
        <f t="shared" si="13"/>
        <v>0</v>
      </c>
      <c r="Q25" s="783">
        <f t="shared" si="14"/>
        <v>0</v>
      </c>
      <c r="R25" s="788">
        <f t="shared" si="15"/>
        <v>2.4</v>
      </c>
      <c r="S25" s="783">
        <f t="shared" si="16"/>
        <v>0</v>
      </c>
      <c r="T25" s="776">
        <f t="shared" si="17"/>
        <v>0</v>
      </c>
      <c r="U25" s="777">
        <f t="shared" si="18"/>
        <v>0</v>
      </c>
      <c r="V25" s="783">
        <f t="shared" si="19"/>
        <v>0</v>
      </c>
      <c r="W25" s="776" t="str">
        <f t="shared" si="20"/>
        <v/>
      </c>
      <c r="X25" s="777">
        <f t="shared" si="21"/>
        <v>0</v>
      </c>
      <c r="Z25" s="315" t="b">
        <f t="shared" si="23"/>
        <v>1</v>
      </c>
      <c r="AA25" s="315" t="b">
        <f t="shared" si="24"/>
        <v>1</v>
      </c>
      <c r="AB25" s="315" t="b">
        <f t="shared" si="25"/>
        <v>1</v>
      </c>
      <c r="AC25" s="315" t="b">
        <f t="shared" si="26"/>
        <v>1</v>
      </c>
      <c r="AD25" s="315" t="b">
        <f t="shared" si="27"/>
        <v>0</v>
      </c>
      <c r="AE25" s="315" t="b">
        <f t="shared" si="28"/>
        <v>1</v>
      </c>
      <c r="AF25" s="315" t="b">
        <f t="shared" si="29"/>
        <v>1</v>
      </c>
      <c r="AG25" s="315" t="b">
        <f t="shared" si="30"/>
        <v>1</v>
      </c>
      <c r="AH25" s="315" t="b">
        <f t="shared" si="31"/>
        <v>1</v>
      </c>
      <c r="AI25" s="315" t="b">
        <f t="shared" si="32"/>
        <v>1</v>
      </c>
      <c r="AJ25" s="315" t="b">
        <f t="shared" si="33"/>
        <v>1</v>
      </c>
      <c r="AK25" s="315" t="b">
        <f t="shared" si="34"/>
        <v>0</v>
      </c>
      <c r="AL25" s="809" t="str">
        <f t="shared" si="35"/>
        <v/>
      </c>
      <c r="AM25" s="810" t="str">
        <f t="shared" si="36"/>
        <v/>
      </c>
      <c r="AN25" s="810" t="str">
        <f t="shared" si="37"/>
        <v/>
      </c>
      <c r="AO25" s="810" t="str">
        <f t="shared" si="38"/>
        <v/>
      </c>
      <c r="AP25" s="810">
        <f t="shared" si="39"/>
        <v>1</v>
      </c>
      <c r="AQ25" s="810" t="str">
        <f t="shared" si="40"/>
        <v/>
      </c>
      <c r="AR25" s="810" t="str">
        <f t="shared" si="41"/>
        <v/>
      </c>
      <c r="AS25" s="810" t="str">
        <f t="shared" si="42"/>
        <v/>
      </c>
      <c r="AT25" s="810" t="str">
        <f t="shared" si="43"/>
        <v/>
      </c>
      <c r="AU25" s="810" t="str">
        <f t="shared" si="44"/>
        <v/>
      </c>
      <c r="AV25" s="810" t="str">
        <f t="shared" si="45"/>
        <v/>
      </c>
      <c r="AW25" s="814">
        <f t="shared" si="45"/>
        <v>1</v>
      </c>
    </row>
    <row r="26" spans="1:49" s="315" customFormat="1">
      <c r="A26" s="794" t="str">
        <f t="shared" si="46"/>
        <v>Ca 1,</v>
      </c>
      <c r="B26" s="314" t="s">
        <v>268</v>
      </c>
      <c r="C26" s="314" t="str">
        <f t="shared" si="0"/>
        <v>Nồng độ acid đặc
鹽酸 濃度</v>
      </c>
      <c r="D26" s="314" t="str">
        <f t="shared" si="1"/>
        <v>XL-001F</v>
      </c>
      <c r="E26" s="314" t="str">
        <f t="shared" si="2"/>
        <v>%V/V</v>
      </c>
      <c r="F26" s="314" t="str">
        <f t="shared" si="3"/>
        <v xml:space="preserve">40~50 </v>
      </c>
      <c r="G26" s="783">
        <f t="shared" si="4"/>
        <v>4.0999999999999996</v>
      </c>
      <c r="H26" s="783" t="str">
        <f t="shared" si="5"/>
        <v>+</v>
      </c>
      <c r="I26" s="788">
        <f t="shared" si="6"/>
        <v>0</v>
      </c>
      <c r="J26" s="783" t="str">
        <f t="shared" si="7"/>
        <v>L</v>
      </c>
      <c r="K26" s="783">
        <f t="shared" si="8"/>
        <v>-61.670625000000101</v>
      </c>
      <c r="L26" s="788" t="str">
        <f t="shared" si="9"/>
        <v>+</v>
      </c>
      <c r="M26" s="783" t="str">
        <f t="shared" si="10"/>
        <v/>
      </c>
      <c r="N26" s="783">
        <f t="shared" si="11"/>
        <v>0.45624999999999999</v>
      </c>
      <c r="O26" s="788">
        <f t="shared" si="12"/>
        <v>-13.262499999999953</v>
      </c>
      <c r="P26" s="783">
        <f t="shared" si="13"/>
        <v>0</v>
      </c>
      <c r="Q26" s="783">
        <f t="shared" si="14"/>
        <v>4</v>
      </c>
      <c r="R26" s="788">
        <f t="shared" si="15"/>
        <v>0.45624999999999999</v>
      </c>
      <c r="S26" s="783" t="str">
        <f t="shared" si="16"/>
        <v>+</v>
      </c>
      <c r="T26" s="776" t="str">
        <f t="shared" si="17"/>
        <v>L</v>
      </c>
      <c r="U26" s="777">
        <f t="shared" si="18"/>
        <v>3.9</v>
      </c>
      <c r="V26" s="783">
        <f t="shared" si="19"/>
        <v>10.941562500000062</v>
      </c>
      <c r="W26" s="776" t="str">
        <f t="shared" si="20"/>
        <v/>
      </c>
      <c r="X26" s="777" t="str">
        <f t="shared" si="21"/>
        <v>L</v>
      </c>
      <c r="Z26" s="315" t="b">
        <f t="shared" si="23"/>
        <v>1</v>
      </c>
      <c r="AA26" s="315" t="b">
        <f t="shared" si="24"/>
        <v>0</v>
      </c>
      <c r="AB26" s="315" t="b">
        <f t="shared" si="25"/>
        <v>0</v>
      </c>
      <c r="AC26" s="315" t="b">
        <f t="shared" si="26"/>
        <v>1</v>
      </c>
      <c r="AD26" s="315" t="b">
        <f t="shared" si="27"/>
        <v>0</v>
      </c>
      <c r="AE26" s="315" t="b">
        <f t="shared" si="28"/>
        <v>1</v>
      </c>
      <c r="AF26" s="315" t="b">
        <f t="shared" si="29"/>
        <v>1</v>
      </c>
      <c r="AG26" s="315" t="b">
        <f t="shared" si="30"/>
        <v>1</v>
      </c>
      <c r="AH26" s="315" t="b">
        <f t="shared" si="31"/>
        <v>0</v>
      </c>
      <c r="AI26" s="315" t="b">
        <f t="shared" si="32"/>
        <v>0</v>
      </c>
      <c r="AJ26" s="315" t="b">
        <f t="shared" si="33"/>
        <v>1</v>
      </c>
      <c r="AK26" s="315" t="b">
        <f t="shared" si="34"/>
        <v>0</v>
      </c>
      <c r="AL26" s="809" t="str">
        <f t="shared" si="35"/>
        <v/>
      </c>
      <c r="AM26" s="810">
        <f t="shared" si="36"/>
        <v>1</v>
      </c>
      <c r="AN26" s="810">
        <f t="shared" si="37"/>
        <v>1</v>
      </c>
      <c r="AO26" s="810" t="str">
        <f t="shared" si="38"/>
        <v/>
      </c>
      <c r="AP26" s="810">
        <f t="shared" si="39"/>
        <v>1</v>
      </c>
      <c r="AQ26" s="810" t="str">
        <f t="shared" si="40"/>
        <v/>
      </c>
      <c r="AR26" s="810" t="str">
        <f t="shared" si="41"/>
        <v/>
      </c>
      <c r="AS26" s="810" t="str">
        <f t="shared" si="42"/>
        <v/>
      </c>
      <c r="AT26" s="810">
        <f t="shared" si="43"/>
        <v>1</v>
      </c>
      <c r="AU26" s="810">
        <f t="shared" si="44"/>
        <v>1</v>
      </c>
      <c r="AV26" s="810" t="str">
        <f t="shared" si="45"/>
        <v/>
      </c>
      <c r="AW26" s="814">
        <f t="shared" si="45"/>
        <v>1</v>
      </c>
    </row>
    <row r="27" spans="1:49" s="315" customFormat="1">
      <c r="A27" s="794" t="str">
        <f t="shared" si="46"/>
        <v>Ca 1,</v>
      </c>
      <c r="B27" s="314" t="s">
        <v>269</v>
      </c>
      <c r="C27" s="314" t="str">
        <f t="shared" si="0"/>
        <v>Nồng độ acid loãng
稀酸 濃度</v>
      </c>
      <c r="D27" s="314" t="str">
        <f t="shared" si="1"/>
        <v>XL-001F</v>
      </c>
      <c r="E27" s="314" t="str">
        <f t="shared" si="2"/>
        <v>%V/V</v>
      </c>
      <c r="F27" s="314" t="str">
        <f t="shared" si="3"/>
        <v>(22±5) =17~27</v>
      </c>
      <c r="G27" s="783">
        <f t="shared" si="4"/>
        <v>0</v>
      </c>
      <c r="H27" s="783" t="str">
        <f t="shared" si="5"/>
        <v>+</v>
      </c>
      <c r="I27" s="788">
        <f t="shared" si="6"/>
        <v>0</v>
      </c>
      <c r="J27" s="783" t="str">
        <f t="shared" si="7"/>
        <v>L</v>
      </c>
      <c r="K27" s="783">
        <f t="shared" si="8"/>
        <v>134.64000000000001</v>
      </c>
      <c r="L27" s="788" t="str">
        <f t="shared" si="9"/>
        <v>+</v>
      </c>
      <c r="M27" s="783" t="str">
        <f t="shared" si="10"/>
        <v/>
      </c>
      <c r="N27" s="783">
        <f t="shared" si="11"/>
        <v>0</v>
      </c>
      <c r="O27" s="788">
        <f t="shared" si="12"/>
        <v>134.64000000000001</v>
      </c>
      <c r="P27" s="783">
        <f t="shared" si="13"/>
        <v>0</v>
      </c>
      <c r="Q27" s="783">
        <f t="shared" si="14"/>
        <v>0</v>
      </c>
      <c r="R27" s="788">
        <f t="shared" si="15"/>
        <v>0</v>
      </c>
      <c r="S27" s="783" t="str">
        <f t="shared" si="16"/>
        <v>+</v>
      </c>
      <c r="T27" s="776" t="str">
        <f t="shared" si="17"/>
        <v>L</v>
      </c>
      <c r="U27" s="777">
        <f t="shared" si="18"/>
        <v>0</v>
      </c>
      <c r="V27" s="783">
        <f t="shared" si="19"/>
        <v>134.64000000000001</v>
      </c>
      <c r="W27" s="776" t="str">
        <f t="shared" si="20"/>
        <v/>
      </c>
      <c r="X27" s="777" t="str">
        <f t="shared" si="21"/>
        <v>L</v>
      </c>
      <c r="Z27" s="315" t="b">
        <f t="shared" si="23"/>
        <v>1</v>
      </c>
      <c r="AA27" s="315" t="b">
        <f t="shared" si="24"/>
        <v>0</v>
      </c>
      <c r="AB27" s="315" t="b">
        <f t="shared" si="25"/>
        <v>0</v>
      </c>
      <c r="AC27" s="315" t="b">
        <f t="shared" si="26"/>
        <v>1</v>
      </c>
      <c r="AD27" s="315" t="b">
        <f t="shared" si="27"/>
        <v>0</v>
      </c>
      <c r="AE27" s="315" t="b">
        <f t="shared" si="28"/>
        <v>1</v>
      </c>
      <c r="AF27" s="315" t="b">
        <f t="shared" si="29"/>
        <v>1</v>
      </c>
      <c r="AG27" s="315" t="b">
        <f t="shared" si="30"/>
        <v>1</v>
      </c>
      <c r="AH27" s="315" t="b">
        <f t="shared" si="31"/>
        <v>0</v>
      </c>
      <c r="AI27" s="315" t="b">
        <f t="shared" si="32"/>
        <v>0</v>
      </c>
      <c r="AJ27" s="315" t="b">
        <f t="shared" si="33"/>
        <v>1</v>
      </c>
      <c r="AK27" s="315" t="b">
        <f t="shared" si="34"/>
        <v>0</v>
      </c>
      <c r="AL27" s="809" t="str">
        <f t="shared" si="35"/>
        <v/>
      </c>
      <c r="AM27" s="810">
        <f t="shared" si="36"/>
        <v>1</v>
      </c>
      <c r="AN27" s="810">
        <f t="shared" si="37"/>
        <v>1</v>
      </c>
      <c r="AO27" s="810" t="str">
        <f t="shared" si="38"/>
        <v/>
      </c>
      <c r="AP27" s="810">
        <f t="shared" si="39"/>
        <v>1</v>
      </c>
      <c r="AQ27" s="810" t="str">
        <f t="shared" si="40"/>
        <v/>
      </c>
      <c r="AR27" s="810" t="str">
        <f t="shared" si="41"/>
        <v/>
      </c>
      <c r="AS27" s="810" t="str">
        <f t="shared" si="42"/>
        <v/>
      </c>
      <c r="AT27" s="810">
        <f t="shared" si="43"/>
        <v>1</v>
      </c>
      <c r="AU27" s="810">
        <f t="shared" si="44"/>
        <v>1</v>
      </c>
      <c r="AV27" s="810" t="str">
        <f t="shared" si="45"/>
        <v/>
      </c>
      <c r="AW27" s="814">
        <f t="shared" si="45"/>
        <v>1</v>
      </c>
    </row>
    <row r="28" spans="1:49" s="315" customFormat="1">
      <c r="A28" s="794" t="str">
        <f t="shared" si="46"/>
        <v>Ca 1,</v>
      </c>
      <c r="B28" s="314" t="s">
        <v>270</v>
      </c>
      <c r="C28" s="314" t="str">
        <f t="shared" si="0"/>
        <v>Nồng độ HCl hoạt hóa
稀酸活化 濃度</v>
      </c>
      <c r="D28" s="314" t="str">
        <f t="shared" si="1"/>
        <v>XL-001F</v>
      </c>
      <c r="E28" s="314" t="str">
        <f t="shared" si="2"/>
        <v>%V/V</v>
      </c>
      <c r="F28" s="314" t="str">
        <f t="shared" si="3"/>
        <v>5~15</v>
      </c>
      <c r="G28" s="783">
        <f t="shared" si="4"/>
        <v>3.5</v>
      </c>
      <c r="H28" s="783" t="str">
        <f t="shared" si="5"/>
        <v>+</v>
      </c>
      <c r="I28" s="788">
        <f t="shared" si="6"/>
        <v>11.58984375</v>
      </c>
      <c r="J28" s="783" t="str">
        <f t="shared" si="7"/>
        <v>L</v>
      </c>
      <c r="K28" s="783">
        <f t="shared" si="8"/>
        <v>10.278125000000001</v>
      </c>
      <c r="L28" s="788" t="str">
        <f t="shared" si="9"/>
        <v>+</v>
      </c>
      <c r="M28" s="783" t="str">
        <f t="shared" si="10"/>
        <v/>
      </c>
      <c r="N28" s="783">
        <f t="shared" si="11"/>
        <v>8.7828125000000007E-2</v>
      </c>
      <c r="O28" s="788">
        <f t="shared" si="12"/>
        <v>6.9988281249999993</v>
      </c>
      <c r="P28" s="783">
        <f t="shared" si="13"/>
        <v>6.9988281249999993</v>
      </c>
      <c r="Q28" s="783">
        <f t="shared" si="14"/>
        <v>3</v>
      </c>
      <c r="R28" s="788">
        <f t="shared" si="15"/>
        <v>6.8437499999999998E-2</v>
      </c>
      <c r="S28" s="783" t="str">
        <f t="shared" si="16"/>
        <v>+</v>
      </c>
      <c r="T28" s="776" t="str">
        <f t="shared" si="17"/>
        <v>L</v>
      </c>
      <c r="U28" s="777">
        <f t="shared" si="18"/>
        <v>5</v>
      </c>
      <c r="V28" s="783">
        <f t="shared" si="19"/>
        <v>-8.0859374999999947</v>
      </c>
      <c r="W28" s="776" t="str">
        <f t="shared" si="20"/>
        <v/>
      </c>
      <c r="X28" s="777" t="str">
        <f t="shared" si="21"/>
        <v>L</v>
      </c>
      <c r="Z28" s="315" t="b">
        <f t="shared" si="23"/>
        <v>1</v>
      </c>
      <c r="AA28" s="315" t="b">
        <f t="shared" si="24"/>
        <v>0</v>
      </c>
      <c r="AB28" s="315" t="b">
        <f t="shared" si="25"/>
        <v>0</v>
      </c>
      <c r="AC28" s="315" t="b">
        <f t="shared" si="26"/>
        <v>1</v>
      </c>
      <c r="AD28" s="315" t="b">
        <f t="shared" si="27"/>
        <v>0</v>
      </c>
      <c r="AE28" s="315" t="b">
        <f t="shared" si="28"/>
        <v>1</v>
      </c>
      <c r="AF28" s="315" t="b">
        <f t="shared" si="29"/>
        <v>1</v>
      </c>
      <c r="AG28" s="315" t="b">
        <f t="shared" si="30"/>
        <v>1</v>
      </c>
      <c r="AH28" s="315" t="b">
        <f t="shared" si="31"/>
        <v>0</v>
      </c>
      <c r="AI28" s="315" t="b">
        <f t="shared" si="32"/>
        <v>0</v>
      </c>
      <c r="AJ28" s="315" t="b">
        <f t="shared" si="33"/>
        <v>1</v>
      </c>
      <c r="AK28" s="315" t="b">
        <f t="shared" si="34"/>
        <v>0</v>
      </c>
      <c r="AL28" s="809" t="str">
        <f t="shared" si="35"/>
        <v/>
      </c>
      <c r="AM28" s="810">
        <f t="shared" si="36"/>
        <v>1</v>
      </c>
      <c r="AN28" s="810">
        <f t="shared" si="37"/>
        <v>1</v>
      </c>
      <c r="AO28" s="810" t="str">
        <f t="shared" si="38"/>
        <v/>
      </c>
      <c r="AP28" s="810">
        <f t="shared" si="39"/>
        <v>1</v>
      </c>
      <c r="AQ28" s="810" t="str">
        <f t="shared" si="40"/>
        <v/>
      </c>
      <c r="AR28" s="810" t="str">
        <f t="shared" si="41"/>
        <v/>
      </c>
      <c r="AS28" s="810" t="str">
        <f t="shared" si="42"/>
        <v/>
      </c>
      <c r="AT28" s="810">
        <f t="shared" si="43"/>
        <v>1</v>
      </c>
      <c r="AU28" s="810">
        <f t="shared" si="44"/>
        <v>1</v>
      </c>
      <c r="AV28" s="810" t="str">
        <f t="shared" si="45"/>
        <v/>
      </c>
      <c r="AW28" s="814">
        <f t="shared" si="45"/>
        <v>1</v>
      </c>
    </row>
    <row r="29" spans="1:49" s="315" customFormat="1">
      <c r="A29" s="794" t="str">
        <f t="shared" si="46"/>
        <v>Ca 1,</v>
      </c>
      <c r="B29" s="314" t="s">
        <v>271</v>
      </c>
      <c r="C29" s="314" t="str">
        <f t="shared" si="0"/>
        <v>Nồng độ  HNO3
硝酸濃度</v>
      </c>
      <c r="D29" s="314" t="str">
        <f t="shared" si="1"/>
        <v>XL-001F</v>
      </c>
      <c r="E29" s="314" t="str">
        <f t="shared" si="2"/>
        <v>%</v>
      </c>
      <c r="F29" s="314" t="str">
        <f t="shared" si="3"/>
        <v>0.5~1.5</v>
      </c>
      <c r="G29" s="783">
        <f t="shared" si="4"/>
        <v>8.8000000000000007</v>
      </c>
      <c r="H29" s="783" t="str">
        <f t="shared" si="5"/>
        <v>+</v>
      </c>
      <c r="I29" s="788">
        <f t="shared" si="6"/>
        <v>0</v>
      </c>
      <c r="J29" s="783" t="str">
        <f t="shared" si="7"/>
        <v>L</v>
      </c>
      <c r="K29" s="783">
        <f t="shared" si="8"/>
        <v>-1.744167091186958</v>
      </c>
      <c r="L29" s="788" t="str">
        <f t="shared" si="9"/>
        <v>+</v>
      </c>
      <c r="M29" s="783" t="str">
        <f t="shared" si="10"/>
        <v/>
      </c>
      <c r="N29" s="783">
        <f t="shared" si="11"/>
        <v>1.1088000000000001E-2</v>
      </c>
      <c r="O29" s="788">
        <f t="shared" si="12"/>
        <v>-0.58750891492613366</v>
      </c>
      <c r="P29" s="783">
        <f t="shared" si="13"/>
        <v>0</v>
      </c>
      <c r="Q29" s="783">
        <f t="shared" si="14"/>
        <v>8.5</v>
      </c>
      <c r="R29" s="788">
        <f t="shared" si="15"/>
        <v>1.0709999999999999E-2</v>
      </c>
      <c r="S29" s="783" t="str">
        <f t="shared" si="16"/>
        <v>+</v>
      </c>
      <c r="T29" s="776" t="str">
        <f t="shared" si="17"/>
        <v>L</v>
      </c>
      <c r="U29" s="777">
        <f t="shared" si="18"/>
        <v>10</v>
      </c>
      <c r="V29" s="783">
        <f t="shared" si="19"/>
        <v>-1.4039735099337747</v>
      </c>
      <c r="W29" s="776" t="str">
        <f t="shared" si="20"/>
        <v/>
      </c>
      <c r="X29" s="777" t="str">
        <f t="shared" si="21"/>
        <v>L</v>
      </c>
      <c r="Z29" s="315" t="b">
        <f t="shared" si="23"/>
        <v>1</v>
      </c>
      <c r="AA29" s="315" t="b">
        <f t="shared" si="24"/>
        <v>0</v>
      </c>
      <c r="AB29" s="315" t="b">
        <f t="shared" si="25"/>
        <v>0</v>
      </c>
      <c r="AC29" s="315" t="b">
        <f t="shared" si="26"/>
        <v>1</v>
      </c>
      <c r="AD29" s="315" t="b">
        <f t="shared" si="27"/>
        <v>0</v>
      </c>
      <c r="AE29" s="315" t="b">
        <f t="shared" si="28"/>
        <v>1</v>
      </c>
      <c r="AF29" s="315" t="b">
        <f t="shared" si="29"/>
        <v>1</v>
      </c>
      <c r="AG29" s="315" t="b">
        <f t="shared" si="30"/>
        <v>1</v>
      </c>
      <c r="AH29" s="315" t="b">
        <f t="shared" si="31"/>
        <v>0</v>
      </c>
      <c r="AI29" s="315" t="b">
        <f t="shared" si="32"/>
        <v>0</v>
      </c>
      <c r="AJ29" s="315" t="b">
        <f t="shared" si="33"/>
        <v>1</v>
      </c>
      <c r="AK29" s="315" t="b">
        <f t="shared" si="34"/>
        <v>0</v>
      </c>
      <c r="AL29" s="809" t="str">
        <f t="shared" si="35"/>
        <v/>
      </c>
      <c r="AM29" s="810">
        <f t="shared" si="36"/>
        <v>1</v>
      </c>
      <c r="AN29" s="810">
        <f t="shared" si="37"/>
        <v>1</v>
      </c>
      <c r="AO29" s="810" t="str">
        <f t="shared" si="38"/>
        <v/>
      </c>
      <c r="AP29" s="810">
        <f t="shared" si="39"/>
        <v>1</v>
      </c>
      <c r="AQ29" s="810" t="str">
        <f t="shared" si="40"/>
        <v/>
      </c>
      <c r="AR29" s="810" t="str">
        <f t="shared" si="41"/>
        <v/>
      </c>
      <c r="AS29" s="810" t="str">
        <f t="shared" si="42"/>
        <v/>
      </c>
      <c r="AT29" s="810">
        <f t="shared" si="43"/>
        <v>1</v>
      </c>
      <c r="AU29" s="810">
        <f t="shared" si="44"/>
        <v>1</v>
      </c>
      <c r="AV29" s="810" t="str">
        <f t="shared" si="45"/>
        <v/>
      </c>
      <c r="AW29" s="814">
        <f t="shared" si="45"/>
        <v>1</v>
      </c>
    </row>
    <row r="30" spans="1:49" s="315" customFormat="1">
      <c r="A30" s="794" t="str">
        <f t="shared" si="46"/>
        <v>Ca 1,</v>
      </c>
      <c r="B30" s="314" t="s">
        <v>281</v>
      </c>
      <c r="C30" s="314" t="str">
        <f t="shared" si="0"/>
        <v>開缸劑
250 Base</v>
      </c>
      <c r="D30" s="314" t="str">
        <f t="shared" si="1"/>
        <v>XL-001F</v>
      </c>
      <c r="E30" s="314" t="str">
        <f t="shared" si="2"/>
        <v>ml/1000
AH</v>
      </c>
      <c r="F30" s="314" t="str">
        <f t="shared" si="3"/>
        <v>100-200</v>
      </c>
      <c r="G30" s="783">
        <f t="shared" si="4"/>
        <v>0</v>
      </c>
      <c r="H30" s="783">
        <f t="shared" si="5"/>
        <v>0</v>
      </c>
      <c r="I30" s="788">
        <f t="shared" si="6"/>
        <v>0</v>
      </c>
      <c r="J30" s="783">
        <f t="shared" si="7"/>
        <v>0</v>
      </c>
      <c r="K30" s="783">
        <f t="shared" si="8"/>
        <v>0</v>
      </c>
      <c r="L30" s="788">
        <f t="shared" si="9"/>
        <v>0</v>
      </c>
      <c r="M30" s="783">
        <f t="shared" si="10"/>
        <v>0</v>
      </c>
      <c r="N30" s="783">
        <f t="shared" si="11"/>
        <v>160</v>
      </c>
      <c r="O30" s="788">
        <f t="shared" si="12"/>
        <v>0</v>
      </c>
      <c r="P30" s="783">
        <f t="shared" si="13"/>
        <v>0</v>
      </c>
      <c r="Q30" s="783">
        <f t="shared" si="14"/>
        <v>0</v>
      </c>
      <c r="R30" s="788">
        <f t="shared" si="15"/>
        <v>160</v>
      </c>
      <c r="S30" s="783">
        <f t="shared" si="16"/>
        <v>0</v>
      </c>
      <c r="T30" s="776">
        <f t="shared" si="17"/>
        <v>0</v>
      </c>
      <c r="U30" s="777">
        <f t="shared" si="18"/>
        <v>0</v>
      </c>
      <c r="V30" s="783">
        <f t="shared" si="19"/>
        <v>0</v>
      </c>
      <c r="W30" s="776">
        <f t="shared" si="20"/>
        <v>0</v>
      </c>
      <c r="X30" s="777">
        <f t="shared" si="21"/>
        <v>0</v>
      </c>
      <c r="Z30" s="315" t="b">
        <f t="shared" si="23"/>
        <v>1</v>
      </c>
      <c r="AA30" s="315" t="b">
        <f t="shared" si="24"/>
        <v>1</v>
      </c>
      <c r="AB30" s="315" t="b">
        <f t="shared" si="25"/>
        <v>1</v>
      </c>
      <c r="AC30" s="315" t="b">
        <f t="shared" si="26"/>
        <v>1</v>
      </c>
      <c r="AD30" s="315" t="b">
        <f t="shared" si="27"/>
        <v>1</v>
      </c>
      <c r="AE30" s="315" t="b">
        <f t="shared" si="28"/>
        <v>1</v>
      </c>
      <c r="AF30" s="315" t="b">
        <f t="shared" si="29"/>
        <v>1</v>
      </c>
      <c r="AG30" s="315" t="b">
        <f t="shared" si="30"/>
        <v>1</v>
      </c>
      <c r="AH30" s="315" t="b">
        <f t="shared" si="31"/>
        <v>1</v>
      </c>
      <c r="AI30" s="315" t="b">
        <f t="shared" si="32"/>
        <v>1</v>
      </c>
      <c r="AJ30" s="315" t="b">
        <f t="shared" si="33"/>
        <v>1</v>
      </c>
      <c r="AK30" s="315" t="b">
        <f t="shared" si="34"/>
        <v>1</v>
      </c>
      <c r="AL30" s="809" t="str">
        <f t="shared" si="35"/>
        <v/>
      </c>
      <c r="AM30" s="810" t="str">
        <f t="shared" si="36"/>
        <v/>
      </c>
      <c r="AN30" s="810" t="str">
        <f t="shared" si="37"/>
        <v/>
      </c>
      <c r="AO30" s="810" t="str">
        <f t="shared" si="38"/>
        <v/>
      </c>
      <c r="AP30" s="810" t="str">
        <f t="shared" si="39"/>
        <v/>
      </c>
      <c r="AQ30" s="810" t="str">
        <f t="shared" si="40"/>
        <v/>
      </c>
      <c r="AR30" s="810" t="str">
        <f t="shared" si="41"/>
        <v/>
      </c>
      <c r="AS30" s="810" t="str">
        <f t="shared" si="42"/>
        <v/>
      </c>
      <c r="AT30" s="810" t="str">
        <f t="shared" si="43"/>
        <v/>
      </c>
      <c r="AU30" s="810" t="str">
        <f t="shared" si="44"/>
        <v/>
      </c>
      <c r="AV30" s="810" t="str">
        <f t="shared" si="45"/>
        <v/>
      </c>
      <c r="AW30" s="814" t="str">
        <f t="shared" si="45"/>
        <v/>
      </c>
    </row>
    <row r="31" spans="1:49" s="793" customFormat="1">
      <c r="A31" s="879" t="str">
        <f t="shared" si="46"/>
        <v>Ca 1,</v>
      </c>
      <c r="B31" s="755" t="s">
        <v>282</v>
      </c>
      <c r="C31" s="755" t="str">
        <f t="shared" si="0"/>
        <v>光亮劑
250 Brightener</v>
      </c>
      <c r="D31" s="755" t="str">
        <f t="shared" si="1"/>
        <v>XL-001F</v>
      </c>
      <c r="E31" s="755" t="str">
        <f t="shared" si="2"/>
        <v>ml/1000
AH</v>
      </c>
      <c r="F31" s="755" t="str">
        <f t="shared" si="3"/>
        <v>20-50</v>
      </c>
      <c r="G31" s="778">
        <f t="shared" si="4"/>
        <v>0</v>
      </c>
      <c r="H31" s="778">
        <f t="shared" si="5"/>
        <v>0</v>
      </c>
      <c r="I31" s="779">
        <f t="shared" si="6"/>
        <v>0</v>
      </c>
      <c r="J31" s="778">
        <f t="shared" si="7"/>
        <v>0</v>
      </c>
      <c r="K31" s="778">
        <f t="shared" si="8"/>
        <v>0</v>
      </c>
      <c r="L31" s="779">
        <f t="shared" si="9"/>
        <v>0</v>
      </c>
      <c r="M31" s="778">
        <f t="shared" si="10"/>
        <v>0</v>
      </c>
      <c r="N31" s="778">
        <f t="shared" si="11"/>
        <v>24</v>
      </c>
      <c r="O31" s="779">
        <f t="shared" si="12"/>
        <v>0</v>
      </c>
      <c r="P31" s="778">
        <f t="shared" si="13"/>
        <v>0</v>
      </c>
      <c r="Q31" s="778">
        <f t="shared" si="14"/>
        <v>0</v>
      </c>
      <c r="R31" s="779">
        <f t="shared" si="15"/>
        <v>24</v>
      </c>
      <c r="S31" s="778">
        <f t="shared" si="16"/>
        <v>0</v>
      </c>
      <c r="T31" s="778">
        <f t="shared" si="17"/>
        <v>0</v>
      </c>
      <c r="U31" s="779">
        <f t="shared" si="18"/>
        <v>0</v>
      </c>
      <c r="V31" s="778">
        <f t="shared" si="19"/>
        <v>0</v>
      </c>
      <c r="W31" s="778">
        <f t="shared" si="20"/>
        <v>0</v>
      </c>
      <c r="X31" s="779">
        <f t="shared" si="21"/>
        <v>0</v>
      </c>
      <c r="Z31" s="793" t="b">
        <f t="shared" si="23"/>
        <v>1</v>
      </c>
      <c r="AA31" s="793" t="b">
        <f t="shared" si="24"/>
        <v>1</v>
      </c>
      <c r="AB31" s="793" t="b">
        <f t="shared" si="25"/>
        <v>1</v>
      </c>
      <c r="AC31" s="793" t="b">
        <f t="shared" si="26"/>
        <v>1</v>
      </c>
      <c r="AD31" s="793" t="b">
        <f t="shared" si="27"/>
        <v>1</v>
      </c>
      <c r="AE31" s="793" t="b">
        <f t="shared" si="28"/>
        <v>1</v>
      </c>
      <c r="AF31" s="793" t="b">
        <f t="shared" si="29"/>
        <v>1</v>
      </c>
      <c r="AG31" s="793" t="b">
        <f t="shared" si="30"/>
        <v>1</v>
      </c>
      <c r="AH31" s="793" t="b">
        <f t="shared" si="31"/>
        <v>1</v>
      </c>
      <c r="AI31" s="793" t="b">
        <f t="shared" si="32"/>
        <v>1</v>
      </c>
      <c r="AJ31" s="793" t="b">
        <f t="shared" si="33"/>
        <v>1</v>
      </c>
      <c r="AK31" s="793" t="b">
        <f t="shared" si="34"/>
        <v>1</v>
      </c>
      <c r="AL31" s="880" t="str">
        <f t="shared" si="35"/>
        <v/>
      </c>
      <c r="AM31" s="881" t="str">
        <f t="shared" si="36"/>
        <v/>
      </c>
      <c r="AN31" s="881" t="str">
        <f t="shared" si="37"/>
        <v/>
      </c>
      <c r="AO31" s="881" t="str">
        <f t="shared" si="38"/>
        <v/>
      </c>
      <c r="AP31" s="881" t="str">
        <f t="shared" si="39"/>
        <v/>
      </c>
      <c r="AQ31" s="881" t="str">
        <f t="shared" si="40"/>
        <v/>
      </c>
      <c r="AR31" s="881" t="str">
        <f t="shared" si="41"/>
        <v/>
      </c>
      <c r="AS31" s="881" t="str">
        <f t="shared" si="42"/>
        <v/>
      </c>
      <c r="AT31" s="881" t="str">
        <f t="shared" si="43"/>
        <v/>
      </c>
      <c r="AU31" s="881" t="str">
        <f t="shared" si="44"/>
        <v/>
      </c>
      <c r="AV31" s="881" t="str">
        <f t="shared" si="45"/>
        <v/>
      </c>
      <c r="AW31" s="882" t="str">
        <f t="shared" si="45"/>
        <v/>
      </c>
    </row>
    <row r="32" spans="1:49" s="315" customFormat="1">
      <c r="A32" s="794" t="str">
        <f t="shared" si="46"/>
        <v>Ca 1,</v>
      </c>
      <c r="B32" s="314" t="s">
        <v>283</v>
      </c>
      <c r="C32" s="314" t="str">
        <f t="shared" si="0"/>
        <v xml:space="preserve"> Xà bông  脫脂 (2,3,4)
CT-21A</v>
      </c>
      <c r="D32" s="314" t="str">
        <f t="shared" si="1"/>
        <v>XT-000C</v>
      </c>
      <c r="E32" s="314" t="str">
        <f t="shared" si="2"/>
        <v>g/L</v>
      </c>
      <c r="F32" s="314" t="str">
        <f t="shared" si="3"/>
        <v>40~60</v>
      </c>
      <c r="G32" s="783">
        <f t="shared" si="4"/>
        <v>7.4</v>
      </c>
      <c r="H32" s="783" t="str">
        <f t="shared" si="5"/>
        <v>+</v>
      </c>
      <c r="I32" s="788">
        <f t="shared" si="6"/>
        <v>30.630557999999947</v>
      </c>
      <c r="J32" s="783" t="str">
        <f t="shared" si="7"/>
        <v>kg</v>
      </c>
      <c r="K32" s="783">
        <f t="shared" si="8"/>
        <v>-14.686840500000006</v>
      </c>
      <c r="L32" s="788" t="str">
        <f t="shared" si="9"/>
        <v>+</v>
      </c>
      <c r="M32" s="783" t="str">
        <f t="shared" si="10"/>
        <v/>
      </c>
      <c r="N32" s="783">
        <f t="shared" si="11"/>
        <v>51.271000000000001</v>
      </c>
      <c r="O32" s="788">
        <f t="shared" si="12"/>
        <v>-19.722107000000012</v>
      </c>
      <c r="P32" s="783">
        <f t="shared" si="13"/>
        <v>0</v>
      </c>
      <c r="Q32" s="783">
        <f t="shared" si="14"/>
        <v>0</v>
      </c>
      <c r="R32" s="788">
        <f t="shared" si="15"/>
        <v>0</v>
      </c>
      <c r="S32" s="783" t="str">
        <f t="shared" si="16"/>
        <v>+</v>
      </c>
      <c r="T32" s="776" t="str">
        <f t="shared" si="17"/>
        <v>kg</v>
      </c>
      <c r="U32" s="777">
        <f t="shared" si="18"/>
        <v>0</v>
      </c>
      <c r="V32" s="783">
        <f t="shared" si="19"/>
        <v>775.85</v>
      </c>
      <c r="W32" s="776" t="str">
        <f t="shared" si="20"/>
        <v/>
      </c>
      <c r="X32" s="777" t="str">
        <f t="shared" si="21"/>
        <v>kg</v>
      </c>
      <c r="Z32" s="315" t="b">
        <f t="shared" si="23"/>
        <v>1</v>
      </c>
      <c r="AA32" s="315" t="b">
        <f t="shared" si="24"/>
        <v>0</v>
      </c>
      <c r="AB32" s="315" t="b">
        <f t="shared" si="25"/>
        <v>0</v>
      </c>
      <c r="AC32" s="315" t="b">
        <f t="shared" si="26"/>
        <v>1</v>
      </c>
      <c r="AD32" s="315" t="b">
        <f t="shared" si="27"/>
        <v>0</v>
      </c>
      <c r="AE32" s="315" t="b">
        <f t="shared" si="28"/>
        <v>1</v>
      </c>
      <c r="AF32" s="315" t="b">
        <f t="shared" si="29"/>
        <v>1</v>
      </c>
      <c r="AG32" s="315" t="b">
        <f t="shared" si="30"/>
        <v>1</v>
      </c>
      <c r="AH32" s="315" t="b">
        <f t="shared" si="31"/>
        <v>0</v>
      </c>
      <c r="AI32" s="315" t="b">
        <f t="shared" si="32"/>
        <v>0</v>
      </c>
      <c r="AJ32" s="315" t="b">
        <f t="shared" si="33"/>
        <v>1</v>
      </c>
      <c r="AK32" s="315" t="b">
        <f t="shared" si="34"/>
        <v>0</v>
      </c>
      <c r="AL32" s="809" t="str">
        <f t="shared" si="35"/>
        <v/>
      </c>
      <c r="AM32" s="810">
        <f t="shared" si="36"/>
        <v>1</v>
      </c>
      <c r="AN32" s="810">
        <f t="shared" si="37"/>
        <v>1</v>
      </c>
      <c r="AO32" s="810" t="str">
        <f t="shared" si="38"/>
        <v/>
      </c>
      <c r="AP32" s="810">
        <f t="shared" si="39"/>
        <v>1</v>
      </c>
      <c r="AQ32" s="810" t="str">
        <f t="shared" si="40"/>
        <v/>
      </c>
      <c r="AR32" s="810" t="str">
        <f t="shared" si="41"/>
        <v/>
      </c>
      <c r="AS32" s="810" t="str">
        <f t="shared" si="42"/>
        <v/>
      </c>
      <c r="AT32" s="810">
        <f t="shared" si="43"/>
        <v>1</v>
      </c>
      <c r="AU32" s="810">
        <f t="shared" si="44"/>
        <v>1</v>
      </c>
      <c r="AV32" s="810" t="str">
        <f t="shared" si="45"/>
        <v/>
      </c>
      <c r="AW32" s="814">
        <f t="shared" si="45"/>
        <v>1</v>
      </c>
    </row>
    <row r="33" spans="1:49" s="315" customFormat="1">
      <c r="A33" s="794" t="str">
        <f t="shared" si="46"/>
        <v>Ca 1,</v>
      </c>
      <c r="B33" s="314" t="s">
        <v>284</v>
      </c>
      <c r="C33" s="314" t="str">
        <f t="shared" si="0"/>
        <v>Xà bông  脫脂  (5,6)
CT-21A</v>
      </c>
      <c r="D33" s="314" t="str">
        <f t="shared" si="1"/>
        <v>XT-000C</v>
      </c>
      <c r="E33" s="314" t="str">
        <f t="shared" si="2"/>
        <v>g/L</v>
      </c>
      <c r="F33" s="314" t="str">
        <f t="shared" si="3"/>
        <v>40~60</v>
      </c>
      <c r="G33" s="783">
        <f t="shared" si="4"/>
        <v>7.65</v>
      </c>
      <c r="H33" s="783" t="str">
        <f t="shared" si="5"/>
        <v>+</v>
      </c>
      <c r="I33" s="788">
        <f t="shared" si="6"/>
        <v>4.0334624999999358</v>
      </c>
      <c r="J33" s="783" t="str">
        <f t="shared" si="7"/>
        <v>kg</v>
      </c>
      <c r="K33" s="783">
        <f t="shared" si="8"/>
        <v>-3.4138124999999935</v>
      </c>
      <c r="L33" s="788" t="str">
        <f t="shared" si="9"/>
        <v>+</v>
      </c>
      <c r="M33" s="783" t="str">
        <f t="shared" si="10"/>
        <v/>
      </c>
      <c r="N33" s="783">
        <f t="shared" si="11"/>
        <v>50.297499999999999</v>
      </c>
      <c r="O33" s="788">
        <f t="shared" si="12"/>
        <v>-3.4138124999999935</v>
      </c>
      <c r="P33" s="783">
        <f t="shared" si="13"/>
        <v>0</v>
      </c>
      <c r="Q33" s="783">
        <f t="shared" si="14"/>
        <v>0</v>
      </c>
      <c r="R33" s="788">
        <f t="shared" si="15"/>
        <v>0</v>
      </c>
      <c r="S33" s="783" t="str">
        <f t="shared" si="16"/>
        <v>+</v>
      </c>
      <c r="T33" s="776" t="str">
        <f t="shared" si="17"/>
        <v>kg</v>
      </c>
      <c r="U33" s="777">
        <f t="shared" si="18"/>
        <v>0</v>
      </c>
      <c r="V33" s="783">
        <f t="shared" si="19"/>
        <v>573.75</v>
      </c>
      <c r="W33" s="776" t="str">
        <f t="shared" si="20"/>
        <v/>
      </c>
      <c r="X33" s="777" t="str">
        <f t="shared" si="21"/>
        <v>kg</v>
      </c>
      <c r="Z33" s="315" t="b">
        <f t="shared" si="23"/>
        <v>1</v>
      </c>
      <c r="AA33" s="315" t="b">
        <f t="shared" si="24"/>
        <v>0</v>
      </c>
      <c r="AB33" s="315" t="b">
        <f t="shared" si="25"/>
        <v>0</v>
      </c>
      <c r="AC33" s="315" t="b">
        <f t="shared" si="26"/>
        <v>1</v>
      </c>
      <c r="AD33" s="315" t="b">
        <f t="shared" si="27"/>
        <v>0</v>
      </c>
      <c r="AE33" s="315" t="b">
        <f t="shared" si="28"/>
        <v>1</v>
      </c>
      <c r="AF33" s="315" t="b">
        <f t="shared" si="29"/>
        <v>1</v>
      </c>
      <c r="AG33" s="315" t="b">
        <f t="shared" si="30"/>
        <v>1</v>
      </c>
      <c r="AH33" s="315" t="b">
        <f t="shared" si="31"/>
        <v>0</v>
      </c>
      <c r="AI33" s="315" t="b">
        <f t="shared" si="32"/>
        <v>0</v>
      </c>
      <c r="AJ33" s="315" t="b">
        <f t="shared" si="33"/>
        <v>1</v>
      </c>
      <c r="AK33" s="315" t="b">
        <f t="shared" si="34"/>
        <v>0</v>
      </c>
      <c r="AL33" s="809" t="str">
        <f t="shared" si="35"/>
        <v/>
      </c>
      <c r="AM33" s="810">
        <f t="shared" si="36"/>
        <v>1</v>
      </c>
      <c r="AN33" s="810">
        <f t="shared" si="37"/>
        <v>1</v>
      </c>
      <c r="AO33" s="810" t="str">
        <f t="shared" si="38"/>
        <v/>
      </c>
      <c r="AP33" s="810">
        <f t="shared" si="39"/>
        <v>1</v>
      </c>
      <c r="AQ33" s="810" t="str">
        <f t="shared" si="40"/>
        <v/>
      </c>
      <c r="AR33" s="810" t="str">
        <f t="shared" si="41"/>
        <v/>
      </c>
      <c r="AS33" s="810" t="str">
        <f t="shared" si="42"/>
        <v/>
      </c>
      <c r="AT33" s="810">
        <f t="shared" si="43"/>
        <v>1</v>
      </c>
      <c r="AU33" s="810">
        <f t="shared" si="44"/>
        <v>1</v>
      </c>
      <c r="AV33" s="810" t="str">
        <f t="shared" si="45"/>
        <v/>
      </c>
      <c r="AW33" s="814">
        <f t="shared" si="45"/>
        <v>1</v>
      </c>
    </row>
    <row r="34" spans="1:49" s="315" customFormat="1">
      <c r="A34" s="794" t="str">
        <f t="shared" si="46"/>
        <v>Ca 1,</v>
      </c>
      <c r="B34" s="314" t="s">
        <v>285</v>
      </c>
      <c r="C34" s="314" t="str">
        <f t="shared" ref="C34:C45" si="47">IFERROR(VLOOKUP($B34,_XM_XT_THUCTE,3,0),"")</f>
        <v>Điện giải  電解 (8)
EC-508A</v>
      </c>
      <c r="D34" s="314" t="str">
        <f t="shared" ref="D34:D45" si="48">IFERROR(VLOOKUP($B34,_XM_XT_THUCTE,2,0),"")</f>
        <v>XT-000C</v>
      </c>
      <c r="E34" s="314" t="str">
        <f t="shared" ref="E34:E45" si="49">IFERROR(VLOOKUP($B34,_XM_XT_THUCTE,4,0),"")</f>
        <v>g/L</v>
      </c>
      <c r="F34" s="314" t="str">
        <f t="shared" ref="F34:F45" si="50">IFERROR(VLOOKUP($B34,_XM_XT_THUCTE,5,0),"")</f>
        <v>50~70</v>
      </c>
      <c r="G34" s="783">
        <f t="shared" ref="G34:G45" si="51">IFERROR(VLOOKUP($B34,_XM_XT_THUCTE,8,0),"")</f>
        <v>13.3</v>
      </c>
      <c r="H34" s="783" t="str">
        <f t="shared" ref="H34:H45" si="52">IFERROR(VLOOKUP($B34,_XM_XT_THUCTE,11,0),"")</f>
        <v>+</v>
      </c>
      <c r="I34" s="788">
        <f t="shared" ref="I34:I45" si="53">IFERROR(VLOOKUP($B34,_XM_XT_THUCTE,12,0),"")</f>
        <v>0</v>
      </c>
      <c r="J34" s="783" t="str">
        <f t="shared" si="7"/>
        <v>kg</v>
      </c>
      <c r="K34" s="783">
        <f t="shared" ref="K34:K45" si="54">IFERROR(VLOOKUP($B34,_XM_XT_THUCTE,17,0),"")</f>
        <v>-15.645600000000009</v>
      </c>
      <c r="L34" s="788" t="str">
        <f t="shared" ref="L34:L45" si="55">IFERROR(VLOOKUP($B34,_XM_XT_THUCTE,18,0),"")</f>
        <v>+</v>
      </c>
      <c r="M34" s="783" t="str">
        <f t="shared" ref="M34:M45" si="56">IFERROR(VLOOKUP($B34,_XM_XT_THUCTE,20,0),"")</f>
        <v/>
      </c>
      <c r="N34" s="783">
        <f t="shared" ref="N34:N45" si="57">IFERROR(VLOOKUP($B34,_XM_XT_THUCTE,23,0),"")</f>
        <v>62.370000000000005</v>
      </c>
      <c r="O34" s="788">
        <f t="shared" ref="O34:O45" si="58">IFERROR(VLOOKUP($B34,_XM_XT_THUCTE,24,0),"")</f>
        <v>-19.434000000000037</v>
      </c>
      <c r="P34" s="783">
        <f t="shared" ref="P34:P45" si="59">IFERROR(VLOOKUP($B34,_XM_XT_THUCTE,26,0),"")</f>
        <v>0</v>
      </c>
      <c r="Q34" s="783">
        <f t="shared" ref="Q34:Q45" si="60">IFERROR(VLOOKUP($B34,_XM_XT_THUCTE,29,0),"")</f>
        <v>0</v>
      </c>
      <c r="R34" s="788">
        <f t="shared" ref="R34:R45" si="61">IFERROR(VLOOKUP($B34,_XM_XT_THUCTE,30,0),"")</f>
        <v>0</v>
      </c>
      <c r="S34" s="783" t="str">
        <f t="shared" ref="S34:S45" si="62">IFERROR(VLOOKUP($B34,_XM_XT_THUCTE,32,0),"")</f>
        <v>+</v>
      </c>
      <c r="T34" s="776" t="str">
        <f t="shared" ref="T34:T45" si="63">IFERROR(VLOOKUP($B34,_XM_XT_THUCTE,35,0),"")</f>
        <v>kg</v>
      </c>
      <c r="U34" s="777">
        <f t="shared" ref="U34:U45" si="64">IFERROR(VLOOKUP($B34,_XM_XT_THUCTE,36,0),"")</f>
        <v>0</v>
      </c>
      <c r="V34" s="783">
        <f t="shared" ref="V34:V45" si="65">IFERROR(VLOOKUP($B34,_XM_XT_THUCTE,38,0),"")</f>
        <v>492</v>
      </c>
      <c r="W34" s="776" t="str">
        <f t="shared" ref="W34:W45" si="66">IFERROR(VLOOKUP($B34,_XM_XT_THUCTE,41,0),"")</f>
        <v/>
      </c>
      <c r="X34" s="777" t="str">
        <f t="shared" ref="X34:X45" si="67">IFERROR(VLOOKUP($B34,_XM_XT_THUCTE,42,0),"")</f>
        <v>kg</v>
      </c>
      <c r="Z34" s="315" t="b">
        <f t="shared" si="23"/>
        <v>1</v>
      </c>
      <c r="AA34" s="315" t="b">
        <f t="shared" si="24"/>
        <v>0</v>
      </c>
      <c r="AB34" s="315" t="b">
        <f t="shared" si="25"/>
        <v>0</v>
      </c>
      <c r="AC34" s="315" t="b">
        <f t="shared" si="26"/>
        <v>1</v>
      </c>
      <c r="AD34" s="315" t="b">
        <f t="shared" si="27"/>
        <v>0</v>
      </c>
      <c r="AE34" s="315" t="b">
        <f t="shared" si="28"/>
        <v>1</v>
      </c>
      <c r="AF34" s="315" t="b">
        <f t="shared" si="29"/>
        <v>1</v>
      </c>
      <c r="AG34" s="315" t="b">
        <f t="shared" si="30"/>
        <v>1</v>
      </c>
      <c r="AH34" s="315" t="b">
        <f t="shared" si="31"/>
        <v>0</v>
      </c>
      <c r="AI34" s="315" t="b">
        <f t="shared" si="32"/>
        <v>0</v>
      </c>
      <c r="AJ34" s="315" t="b">
        <f t="shared" si="33"/>
        <v>1</v>
      </c>
      <c r="AK34" s="315" t="b">
        <f t="shared" si="34"/>
        <v>0</v>
      </c>
      <c r="AL34" s="809" t="str">
        <f t="shared" si="35"/>
        <v/>
      </c>
      <c r="AM34" s="810">
        <f t="shared" si="36"/>
        <v>1</v>
      </c>
      <c r="AN34" s="810">
        <f t="shared" si="37"/>
        <v>1</v>
      </c>
      <c r="AO34" s="810" t="str">
        <f t="shared" si="38"/>
        <v/>
      </c>
      <c r="AP34" s="810">
        <f t="shared" si="39"/>
        <v>1</v>
      </c>
      <c r="AQ34" s="810" t="str">
        <f t="shared" si="40"/>
        <v/>
      </c>
      <c r="AR34" s="810" t="str">
        <f t="shared" si="41"/>
        <v/>
      </c>
      <c r="AS34" s="810" t="str">
        <f t="shared" si="42"/>
        <v/>
      </c>
      <c r="AT34" s="810">
        <f t="shared" si="43"/>
        <v>1</v>
      </c>
      <c r="AU34" s="810">
        <f t="shared" si="44"/>
        <v>1</v>
      </c>
      <c r="AV34" s="810" t="str">
        <f t="shared" si="45"/>
        <v/>
      </c>
      <c r="AW34" s="814">
        <f t="shared" si="45"/>
        <v>1</v>
      </c>
    </row>
    <row r="35" spans="1:49" s="315" customFormat="1">
      <c r="A35" s="794" t="str">
        <f t="shared" si="46"/>
        <v>Ca 1,</v>
      </c>
      <c r="B35" s="314" t="s">
        <v>286</v>
      </c>
      <c r="C35" s="314" t="str">
        <f t="shared" si="47"/>
        <v>Điện giải  電解  (20,21)
EC-508A</v>
      </c>
      <c r="D35" s="314" t="str">
        <f t="shared" si="48"/>
        <v>XT-000C</v>
      </c>
      <c r="E35" s="314" t="str">
        <f t="shared" si="49"/>
        <v>g/L</v>
      </c>
      <c r="F35" s="314" t="str">
        <f t="shared" si="50"/>
        <v>50~70</v>
      </c>
      <c r="G35" s="783">
        <f t="shared" si="51"/>
        <v>12.9</v>
      </c>
      <c r="H35" s="783" t="str">
        <f t="shared" si="52"/>
        <v>+</v>
      </c>
      <c r="I35" s="788">
        <f t="shared" si="53"/>
        <v>3.4845359999999475</v>
      </c>
      <c r="J35" s="783" t="str">
        <f t="shared" si="7"/>
        <v>kg</v>
      </c>
      <c r="K35" s="783">
        <f t="shared" si="54"/>
        <v>-6.5270040000000007</v>
      </c>
      <c r="L35" s="788" t="str">
        <f t="shared" si="55"/>
        <v>+</v>
      </c>
      <c r="M35" s="783" t="str">
        <f t="shared" si="56"/>
        <v/>
      </c>
      <c r="N35" s="783">
        <f t="shared" si="57"/>
        <v>61.215000000000003</v>
      </c>
      <c r="O35" s="788">
        <f t="shared" si="58"/>
        <v>-10.53162000000003</v>
      </c>
      <c r="P35" s="783">
        <f t="shared" si="59"/>
        <v>0</v>
      </c>
      <c r="Q35" s="783">
        <f t="shared" si="60"/>
        <v>0</v>
      </c>
      <c r="R35" s="788">
        <f t="shared" si="61"/>
        <v>0</v>
      </c>
      <c r="S35" s="783" t="str">
        <f t="shared" si="62"/>
        <v>+</v>
      </c>
      <c r="T35" s="776" t="str">
        <f t="shared" si="63"/>
        <v>kg</v>
      </c>
      <c r="U35" s="777">
        <f t="shared" si="64"/>
        <v>0</v>
      </c>
      <c r="V35" s="783">
        <f t="shared" si="65"/>
        <v>520.08000000000004</v>
      </c>
      <c r="W35" s="776" t="str">
        <f t="shared" si="66"/>
        <v/>
      </c>
      <c r="X35" s="777" t="str">
        <f t="shared" si="67"/>
        <v>kg</v>
      </c>
      <c r="Z35" s="315" t="b">
        <f t="shared" si="23"/>
        <v>1</v>
      </c>
      <c r="AA35" s="315" t="b">
        <f t="shared" si="24"/>
        <v>0</v>
      </c>
      <c r="AB35" s="315" t="b">
        <f t="shared" si="25"/>
        <v>0</v>
      </c>
      <c r="AC35" s="315" t="b">
        <f t="shared" si="26"/>
        <v>1</v>
      </c>
      <c r="AD35" s="315" t="b">
        <f t="shared" si="27"/>
        <v>0</v>
      </c>
      <c r="AE35" s="315" t="b">
        <f t="shared" si="28"/>
        <v>1</v>
      </c>
      <c r="AF35" s="315" t="b">
        <f t="shared" si="29"/>
        <v>1</v>
      </c>
      <c r="AG35" s="315" t="b">
        <f t="shared" si="30"/>
        <v>1</v>
      </c>
      <c r="AH35" s="315" t="b">
        <f t="shared" si="31"/>
        <v>0</v>
      </c>
      <c r="AI35" s="315" t="b">
        <f t="shared" si="32"/>
        <v>0</v>
      </c>
      <c r="AJ35" s="315" t="b">
        <f t="shared" si="33"/>
        <v>1</v>
      </c>
      <c r="AK35" s="315" t="b">
        <f t="shared" si="34"/>
        <v>0</v>
      </c>
      <c r="AL35" s="809" t="str">
        <f t="shared" si="35"/>
        <v/>
      </c>
      <c r="AM35" s="810">
        <f t="shared" si="36"/>
        <v>1</v>
      </c>
      <c r="AN35" s="810">
        <f t="shared" si="37"/>
        <v>1</v>
      </c>
      <c r="AO35" s="810" t="str">
        <f t="shared" si="38"/>
        <v/>
      </c>
      <c r="AP35" s="810">
        <f t="shared" si="39"/>
        <v>1</v>
      </c>
      <c r="AQ35" s="810" t="str">
        <f t="shared" si="40"/>
        <v/>
      </c>
      <c r="AR35" s="810" t="str">
        <f t="shared" si="41"/>
        <v/>
      </c>
      <c r="AS35" s="810" t="str">
        <f t="shared" si="42"/>
        <v/>
      </c>
      <c r="AT35" s="810">
        <f t="shared" si="43"/>
        <v>1</v>
      </c>
      <c r="AU35" s="810">
        <f t="shared" si="44"/>
        <v>1</v>
      </c>
      <c r="AV35" s="810" t="str">
        <f t="shared" si="45"/>
        <v/>
      </c>
      <c r="AW35" s="814">
        <f t="shared" si="45"/>
        <v>1</v>
      </c>
    </row>
    <row r="36" spans="1:49" s="315" customFormat="1">
      <c r="A36" s="794" t="str">
        <f t="shared" si="46"/>
        <v>Ca 1,</v>
      </c>
      <c r="B36" s="314" t="s">
        <v>287</v>
      </c>
      <c r="C36" s="314" t="str">
        <f t="shared" si="47"/>
        <v>NaOH (26-35)
氫氧化鈉</v>
      </c>
      <c r="D36" s="314" t="str">
        <f t="shared" si="48"/>
        <v>XT-000C</v>
      </c>
      <c r="E36" s="314" t="str">
        <f t="shared" si="49"/>
        <v>g/L</v>
      </c>
      <c r="F36" s="314" t="str">
        <f t="shared" si="50"/>
        <v>135~ 145</v>
      </c>
      <c r="G36" s="783">
        <f t="shared" si="51"/>
        <v>17.8</v>
      </c>
      <c r="H36" s="783" t="str">
        <f t="shared" si="52"/>
        <v>+</v>
      </c>
      <c r="I36" s="788">
        <f t="shared" si="53"/>
        <v>0</v>
      </c>
      <c r="J36" s="783" t="str">
        <f t="shared" si="7"/>
        <v>kg</v>
      </c>
      <c r="K36" s="783">
        <f t="shared" si="54"/>
        <v>-169.81119999999939</v>
      </c>
      <c r="L36" s="788" t="str">
        <f t="shared" si="55"/>
        <v>+</v>
      </c>
      <c r="M36" s="783" t="str">
        <f t="shared" si="56"/>
        <v/>
      </c>
      <c r="N36" s="783">
        <f t="shared" si="57"/>
        <v>138.80000000000001</v>
      </c>
      <c r="O36" s="788">
        <f t="shared" si="58"/>
        <v>63.679199999999391</v>
      </c>
      <c r="P36" s="783">
        <f t="shared" si="59"/>
        <v>63.679199999999391</v>
      </c>
      <c r="Q36" s="783">
        <f t="shared" si="60"/>
        <v>0</v>
      </c>
      <c r="R36" s="788">
        <f t="shared" si="61"/>
        <v>0</v>
      </c>
      <c r="S36" s="783" t="str">
        <f t="shared" si="62"/>
        <v>+</v>
      </c>
      <c r="T36" s="776" t="str">
        <f t="shared" si="63"/>
        <v>kg</v>
      </c>
      <c r="U36" s="777">
        <f t="shared" si="64"/>
        <v>0</v>
      </c>
      <c r="V36" s="783">
        <f t="shared" si="65"/>
        <v>7429.24</v>
      </c>
      <c r="W36" s="776" t="str">
        <f t="shared" si="66"/>
        <v/>
      </c>
      <c r="X36" s="777" t="str">
        <f t="shared" si="67"/>
        <v>kg</v>
      </c>
      <c r="Z36" s="315" t="b">
        <f t="shared" si="23"/>
        <v>1</v>
      </c>
      <c r="AA36" s="315" t="b">
        <f t="shared" si="24"/>
        <v>0</v>
      </c>
      <c r="AB36" s="315" t="b">
        <f t="shared" si="25"/>
        <v>0</v>
      </c>
      <c r="AC36" s="315" t="b">
        <f t="shared" si="26"/>
        <v>1</v>
      </c>
      <c r="AD36" s="315" t="b">
        <f t="shared" si="27"/>
        <v>0</v>
      </c>
      <c r="AE36" s="315" t="b">
        <f t="shared" si="28"/>
        <v>1</v>
      </c>
      <c r="AF36" s="315" t="b">
        <f t="shared" si="29"/>
        <v>1</v>
      </c>
      <c r="AG36" s="315" t="b">
        <f t="shared" si="30"/>
        <v>1</v>
      </c>
      <c r="AH36" s="315" t="b">
        <f t="shared" si="31"/>
        <v>0</v>
      </c>
      <c r="AI36" s="315" t="b">
        <f t="shared" si="32"/>
        <v>0</v>
      </c>
      <c r="AJ36" s="315" t="b">
        <f t="shared" si="33"/>
        <v>1</v>
      </c>
      <c r="AK36" s="315" t="b">
        <f t="shared" si="34"/>
        <v>0</v>
      </c>
      <c r="AL36" s="809" t="str">
        <f t="shared" si="35"/>
        <v/>
      </c>
      <c r="AM36" s="810">
        <f t="shared" si="36"/>
        <v>1</v>
      </c>
      <c r="AN36" s="810">
        <f t="shared" si="37"/>
        <v>1</v>
      </c>
      <c r="AO36" s="810" t="str">
        <f t="shared" si="38"/>
        <v/>
      </c>
      <c r="AP36" s="810">
        <f t="shared" si="39"/>
        <v>1</v>
      </c>
      <c r="AQ36" s="810" t="str">
        <f t="shared" si="40"/>
        <v/>
      </c>
      <c r="AR36" s="810" t="str">
        <f t="shared" si="41"/>
        <v/>
      </c>
      <c r="AS36" s="810" t="str">
        <f t="shared" si="42"/>
        <v/>
      </c>
      <c r="AT36" s="810">
        <f t="shared" si="43"/>
        <v>1</v>
      </c>
      <c r="AU36" s="810">
        <f t="shared" si="44"/>
        <v>1</v>
      </c>
      <c r="AV36" s="810" t="str">
        <f t="shared" si="45"/>
        <v/>
      </c>
      <c r="AW36" s="814">
        <f t="shared" si="45"/>
        <v>1</v>
      </c>
    </row>
    <row r="37" spans="1:49" s="315" customFormat="1">
      <c r="A37" s="794" t="str">
        <f t="shared" si="46"/>
        <v>Ca 1,</v>
      </c>
      <c r="B37" s="314" t="s">
        <v>288</v>
      </c>
      <c r="C37" s="314" t="str">
        <f t="shared" si="47"/>
        <v>Zn  鋅 (26-35)
(1 pcs Zn=25kg)</v>
      </c>
      <c r="D37" s="314" t="str">
        <f t="shared" si="48"/>
        <v>XT-000C</v>
      </c>
      <c r="E37" s="314" t="str">
        <f t="shared" si="49"/>
        <v>g/L</v>
      </c>
      <c r="F37" s="314" t="str">
        <f t="shared" si="50"/>
        <v>7~10</v>
      </c>
      <c r="G37" s="783">
        <f t="shared" si="51"/>
        <v>6.45</v>
      </c>
      <c r="H37" s="783" t="str">
        <f t="shared" si="52"/>
        <v>+</v>
      </c>
      <c r="I37" s="788">
        <f t="shared" si="53"/>
        <v>6.1025900000000108</v>
      </c>
      <c r="J37" s="783" t="str">
        <f t="shared" si="7"/>
        <v>kg</v>
      </c>
      <c r="K37" s="783">
        <f t="shared" si="54"/>
        <v>6.1025900000000108</v>
      </c>
      <c r="L37" s="788" t="str">
        <f t="shared" si="55"/>
        <v>+</v>
      </c>
      <c r="M37" s="783" t="str">
        <f t="shared" si="56"/>
        <v/>
      </c>
      <c r="N37" s="783">
        <f t="shared" si="57"/>
        <v>8.4500000000000011</v>
      </c>
      <c r="O37" s="788">
        <f t="shared" si="58"/>
        <v>2.6532999999999434</v>
      </c>
      <c r="P37" s="783">
        <f t="shared" si="59"/>
        <v>2.6532999999999434</v>
      </c>
      <c r="Q37" s="783">
        <f t="shared" si="60"/>
        <v>0</v>
      </c>
      <c r="R37" s="788">
        <f t="shared" si="61"/>
        <v>0</v>
      </c>
      <c r="S37" s="783" t="str">
        <f t="shared" si="62"/>
        <v>+</v>
      </c>
      <c r="T37" s="776" t="str">
        <f t="shared" si="63"/>
        <v>kg</v>
      </c>
      <c r="U37" s="777">
        <f t="shared" si="64"/>
        <v>0</v>
      </c>
      <c r="V37" s="783">
        <f t="shared" si="65"/>
        <v>451.06099999999998</v>
      </c>
      <c r="W37" s="776" t="str">
        <f t="shared" si="66"/>
        <v/>
      </c>
      <c r="X37" s="777" t="str">
        <f t="shared" si="67"/>
        <v>kg</v>
      </c>
      <c r="Z37" s="315" t="b">
        <f t="shared" si="23"/>
        <v>1</v>
      </c>
      <c r="AA37" s="315" t="b">
        <f t="shared" si="24"/>
        <v>0</v>
      </c>
      <c r="AB37" s="315" t="b">
        <f t="shared" si="25"/>
        <v>0</v>
      </c>
      <c r="AC37" s="315" t="b">
        <f t="shared" si="26"/>
        <v>1</v>
      </c>
      <c r="AD37" s="315" t="b">
        <f t="shared" si="27"/>
        <v>0</v>
      </c>
      <c r="AE37" s="315" t="b">
        <f t="shared" si="28"/>
        <v>1</v>
      </c>
      <c r="AF37" s="315" t="b">
        <f t="shared" si="29"/>
        <v>1</v>
      </c>
      <c r="AG37" s="315" t="b">
        <f t="shared" si="30"/>
        <v>1</v>
      </c>
      <c r="AH37" s="315" t="b">
        <f t="shared" si="31"/>
        <v>0</v>
      </c>
      <c r="AI37" s="315" t="b">
        <f t="shared" si="32"/>
        <v>0</v>
      </c>
      <c r="AJ37" s="315" t="b">
        <f t="shared" si="33"/>
        <v>1</v>
      </c>
      <c r="AK37" s="315" t="b">
        <f t="shared" si="34"/>
        <v>0</v>
      </c>
      <c r="AL37" s="809" t="str">
        <f t="shared" si="35"/>
        <v/>
      </c>
      <c r="AM37" s="810">
        <f t="shared" si="36"/>
        <v>1</v>
      </c>
      <c r="AN37" s="810">
        <f t="shared" si="37"/>
        <v>1</v>
      </c>
      <c r="AO37" s="810" t="str">
        <f t="shared" si="38"/>
        <v/>
      </c>
      <c r="AP37" s="810">
        <f t="shared" si="39"/>
        <v>1</v>
      </c>
      <c r="AQ37" s="810" t="str">
        <f t="shared" si="40"/>
        <v/>
      </c>
      <c r="AR37" s="810" t="str">
        <f t="shared" si="41"/>
        <v/>
      </c>
      <c r="AS37" s="810" t="str">
        <f t="shared" si="42"/>
        <v/>
      </c>
      <c r="AT37" s="810">
        <f t="shared" si="43"/>
        <v>1</v>
      </c>
      <c r="AU37" s="810">
        <f t="shared" si="44"/>
        <v>1</v>
      </c>
      <c r="AV37" s="810" t="str">
        <f t="shared" si="45"/>
        <v/>
      </c>
      <c r="AW37" s="814">
        <f t="shared" si="45"/>
        <v>1</v>
      </c>
    </row>
    <row r="38" spans="1:49" s="315" customFormat="1">
      <c r="A38" s="794" t="str">
        <f t="shared" si="46"/>
        <v>Ca 1,</v>
      </c>
      <c r="B38" s="314" t="s">
        <v>289</v>
      </c>
      <c r="C38" s="314" t="str">
        <f t="shared" si="47"/>
        <v>Nồng độ Cr2O3 三價鉻(46)
LANTHANE 318 (HALO)</v>
      </c>
      <c r="D38" s="314" t="str">
        <f t="shared" si="48"/>
        <v>XT-000C</v>
      </c>
      <c r="E38" s="314" t="str">
        <f t="shared" si="49"/>
        <v>%</v>
      </c>
      <c r="F38" s="314" t="str">
        <f t="shared" si="50"/>
        <v>5~8</v>
      </c>
      <c r="G38" s="783">
        <f t="shared" si="51"/>
        <v>18.350000000000001</v>
      </c>
      <c r="H38" s="783" t="str">
        <f t="shared" si="52"/>
        <v>+</v>
      </c>
      <c r="I38" s="788">
        <f t="shared" si="53"/>
        <v>0</v>
      </c>
      <c r="J38" s="783" t="str">
        <f t="shared" si="7"/>
        <v>L</v>
      </c>
      <c r="K38" s="783">
        <f t="shared" si="54"/>
        <v>-23.063880000000026</v>
      </c>
      <c r="L38" s="788" t="str">
        <f t="shared" si="55"/>
        <v>+</v>
      </c>
      <c r="M38" s="783" t="str">
        <f t="shared" si="56"/>
        <v/>
      </c>
      <c r="N38" s="783">
        <f t="shared" si="57"/>
        <v>6.6228700000000007</v>
      </c>
      <c r="O38" s="788">
        <f t="shared" si="58"/>
        <v>-20.928432000000026</v>
      </c>
      <c r="P38" s="783">
        <f t="shared" si="59"/>
        <v>0</v>
      </c>
      <c r="Q38" s="783">
        <f t="shared" si="60"/>
        <v>0</v>
      </c>
      <c r="R38" s="788">
        <f t="shared" si="61"/>
        <v>-1.0461</v>
      </c>
      <c r="S38" s="783" t="str">
        <f t="shared" si="62"/>
        <v>+</v>
      </c>
      <c r="T38" s="776" t="str">
        <f t="shared" si="63"/>
        <v>L</v>
      </c>
      <c r="U38" s="777">
        <f t="shared" si="64"/>
        <v>0</v>
      </c>
      <c r="V38" s="783">
        <f t="shared" si="65"/>
        <v>236.74896000000001</v>
      </c>
      <c r="W38" s="776" t="str">
        <f t="shared" si="66"/>
        <v/>
      </c>
      <c r="X38" s="777" t="str">
        <f t="shared" si="67"/>
        <v>L</v>
      </c>
      <c r="Z38" s="315" t="b">
        <f t="shared" si="23"/>
        <v>1</v>
      </c>
      <c r="AA38" s="315" t="b">
        <f t="shared" si="24"/>
        <v>0</v>
      </c>
      <c r="AB38" s="315" t="b">
        <f t="shared" si="25"/>
        <v>0</v>
      </c>
      <c r="AC38" s="315" t="b">
        <f t="shared" si="26"/>
        <v>1</v>
      </c>
      <c r="AD38" s="315" t="b">
        <f t="shared" si="27"/>
        <v>0</v>
      </c>
      <c r="AE38" s="315" t="b">
        <f t="shared" si="28"/>
        <v>1</v>
      </c>
      <c r="AF38" s="315" t="b">
        <f t="shared" si="29"/>
        <v>1</v>
      </c>
      <c r="AG38" s="315" t="b">
        <f t="shared" si="30"/>
        <v>1</v>
      </c>
      <c r="AH38" s="315" t="b">
        <f t="shared" si="31"/>
        <v>0</v>
      </c>
      <c r="AI38" s="315" t="b">
        <f t="shared" si="32"/>
        <v>0</v>
      </c>
      <c r="AJ38" s="315" t="b">
        <f t="shared" si="33"/>
        <v>1</v>
      </c>
      <c r="AK38" s="315" t="b">
        <f t="shared" si="34"/>
        <v>0</v>
      </c>
      <c r="AL38" s="809" t="str">
        <f t="shared" si="35"/>
        <v/>
      </c>
      <c r="AM38" s="810">
        <f t="shared" si="36"/>
        <v>1</v>
      </c>
      <c r="AN38" s="810">
        <f t="shared" si="37"/>
        <v>1</v>
      </c>
      <c r="AO38" s="810" t="str">
        <f t="shared" si="38"/>
        <v/>
      </c>
      <c r="AP38" s="810">
        <f t="shared" si="39"/>
        <v>1</v>
      </c>
      <c r="AQ38" s="810" t="str">
        <f t="shared" si="40"/>
        <v/>
      </c>
      <c r="AR38" s="810" t="str">
        <f t="shared" si="41"/>
        <v/>
      </c>
      <c r="AS38" s="810" t="str">
        <f t="shared" si="42"/>
        <v/>
      </c>
      <c r="AT38" s="810">
        <f t="shared" si="43"/>
        <v>1</v>
      </c>
      <c r="AU38" s="810">
        <f t="shared" si="44"/>
        <v>1</v>
      </c>
      <c r="AV38" s="810" t="str">
        <f t="shared" si="45"/>
        <v/>
      </c>
      <c r="AW38" s="814">
        <f t="shared" si="45"/>
        <v>1</v>
      </c>
    </row>
    <row r="39" spans="1:49" s="315" customFormat="1">
      <c r="A39" s="794" t="str">
        <f t="shared" si="46"/>
        <v>Ca 1,</v>
      </c>
      <c r="B39" s="314" t="s">
        <v>290</v>
      </c>
      <c r="C39" s="314" t="str">
        <f t="shared" si="47"/>
        <v>Pha mới: 2024/06/22</v>
      </c>
      <c r="D39" s="314" t="str">
        <f t="shared" si="48"/>
        <v>XT-000C</v>
      </c>
      <c r="E39" s="314" t="str">
        <f t="shared" si="49"/>
        <v>pH</v>
      </c>
      <c r="F39" s="314" t="str">
        <f t="shared" si="50"/>
        <v>2.0~2.4</v>
      </c>
      <c r="G39" s="783">
        <f t="shared" si="51"/>
        <v>0</v>
      </c>
      <c r="H39" s="783">
        <f t="shared" si="52"/>
        <v>0</v>
      </c>
      <c r="I39" s="788">
        <f t="shared" si="53"/>
        <v>0</v>
      </c>
      <c r="J39" s="783">
        <f t="shared" si="7"/>
        <v>0</v>
      </c>
      <c r="K39" s="783">
        <f t="shared" si="54"/>
        <v>0</v>
      </c>
      <c r="L39" s="788">
        <f t="shared" si="55"/>
        <v>0</v>
      </c>
      <c r="M39" s="783" t="str">
        <f t="shared" si="56"/>
        <v/>
      </c>
      <c r="N39" s="783">
        <f t="shared" si="57"/>
        <v>2.14</v>
      </c>
      <c r="O39" s="788">
        <f t="shared" si="58"/>
        <v>0</v>
      </c>
      <c r="P39" s="783">
        <f t="shared" si="59"/>
        <v>0</v>
      </c>
      <c r="Q39" s="783">
        <f t="shared" si="60"/>
        <v>0</v>
      </c>
      <c r="R39" s="788">
        <f t="shared" si="61"/>
        <v>0</v>
      </c>
      <c r="S39" s="783">
        <f t="shared" si="62"/>
        <v>0</v>
      </c>
      <c r="T39" s="776">
        <f t="shared" si="63"/>
        <v>0</v>
      </c>
      <c r="U39" s="777">
        <f t="shared" si="64"/>
        <v>0</v>
      </c>
      <c r="V39" s="783">
        <f t="shared" si="65"/>
        <v>0</v>
      </c>
      <c r="W39" s="776" t="str">
        <f t="shared" si="66"/>
        <v/>
      </c>
      <c r="X39" s="777">
        <f t="shared" si="67"/>
        <v>0</v>
      </c>
      <c r="Z39" s="315" t="b">
        <f t="shared" si="23"/>
        <v>1</v>
      </c>
      <c r="AA39" s="315" t="b">
        <f t="shared" si="24"/>
        <v>1</v>
      </c>
      <c r="AB39" s="315" t="b">
        <f t="shared" si="25"/>
        <v>1</v>
      </c>
      <c r="AC39" s="315" t="b">
        <f t="shared" si="26"/>
        <v>1</v>
      </c>
      <c r="AD39" s="315" t="b">
        <f t="shared" si="27"/>
        <v>0</v>
      </c>
      <c r="AE39" s="315" t="b">
        <f t="shared" si="28"/>
        <v>1</v>
      </c>
      <c r="AF39" s="315" t="b">
        <f t="shared" si="29"/>
        <v>1</v>
      </c>
      <c r="AG39" s="315" t="b">
        <f t="shared" si="30"/>
        <v>1</v>
      </c>
      <c r="AH39" s="315" t="b">
        <f t="shared" si="31"/>
        <v>1</v>
      </c>
      <c r="AI39" s="315" t="b">
        <f t="shared" si="32"/>
        <v>1</v>
      </c>
      <c r="AJ39" s="315" t="b">
        <f t="shared" si="33"/>
        <v>1</v>
      </c>
      <c r="AK39" s="315" t="b">
        <f t="shared" si="34"/>
        <v>0</v>
      </c>
      <c r="AL39" s="809" t="str">
        <f t="shared" si="35"/>
        <v/>
      </c>
      <c r="AM39" s="810" t="str">
        <f t="shared" si="36"/>
        <v/>
      </c>
      <c r="AN39" s="810" t="str">
        <f t="shared" si="37"/>
        <v/>
      </c>
      <c r="AO39" s="810" t="str">
        <f t="shared" si="38"/>
        <v/>
      </c>
      <c r="AP39" s="810">
        <f t="shared" si="39"/>
        <v>1</v>
      </c>
      <c r="AQ39" s="810" t="str">
        <f t="shared" si="40"/>
        <v/>
      </c>
      <c r="AR39" s="810" t="str">
        <f t="shared" si="41"/>
        <v/>
      </c>
      <c r="AS39" s="810" t="str">
        <f t="shared" si="42"/>
        <v/>
      </c>
      <c r="AT39" s="810" t="str">
        <f t="shared" si="43"/>
        <v/>
      </c>
      <c r="AU39" s="810" t="str">
        <f t="shared" si="44"/>
        <v/>
      </c>
      <c r="AV39" s="810" t="str">
        <f t="shared" si="45"/>
        <v/>
      </c>
      <c r="AW39" s="814">
        <f t="shared" si="45"/>
        <v>1</v>
      </c>
    </row>
    <row r="40" spans="1:49" s="315" customFormat="1">
      <c r="A40" s="794" t="str">
        <f t="shared" si="46"/>
        <v>Ca 1,</v>
      </c>
      <c r="B40" s="314" t="s">
        <v>291</v>
      </c>
      <c r="C40" s="314" t="str">
        <f t="shared" si="47"/>
        <v>Nồng độ acid loãng (13)
稀酸 濃度</v>
      </c>
      <c r="D40" s="314" t="str">
        <f t="shared" si="48"/>
        <v>XT-000C</v>
      </c>
      <c r="E40" s="314" t="str">
        <f t="shared" si="49"/>
        <v>%V/V</v>
      </c>
      <c r="F40" s="314" t="str">
        <f t="shared" si="50"/>
        <v>10~20</v>
      </c>
      <c r="G40" s="783">
        <f t="shared" si="51"/>
        <v>0</v>
      </c>
      <c r="H40" s="783" t="str">
        <f t="shared" si="52"/>
        <v>+</v>
      </c>
      <c r="I40" s="788">
        <f t="shared" si="53"/>
        <v>0</v>
      </c>
      <c r="J40" s="783" t="str">
        <f t="shared" si="7"/>
        <v>L</v>
      </c>
      <c r="K40" s="783">
        <f t="shared" si="54"/>
        <v>504.15</v>
      </c>
      <c r="L40" s="788" t="str">
        <f t="shared" si="55"/>
        <v>+</v>
      </c>
      <c r="M40" s="783" t="str">
        <f t="shared" si="56"/>
        <v/>
      </c>
      <c r="N40" s="783">
        <f t="shared" si="57"/>
        <v>0</v>
      </c>
      <c r="O40" s="788">
        <f t="shared" si="58"/>
        <v>504.15</v>
      </c>
      <c r="P40" s="783">
        <f t="shared" si="59"/>
        <v>0</v>
      </c>
      <c r="Q40" s="783">
        <f t="shared" si="60"/>
        <v>0</v>
      </c>
      <c r="R40" s="788">
        <f t="shared" si="61"/>
        <v>0</v>
      </c>
      <c r="S40" s="783" t="str">
        <f t="shared" si="62"/>
        <v>+</v>
      </c>
      <c r="T40" s="776" t="str">
        <f t="shared" si="63"/>
        <v>L</v>
      </c>
      <c r="U40" s="777">
        <f t="shared" si="64"/>
        <v>0</v>
      </c>
      <c r="V40" s="783">
        <f t="shared" si="65"/>
        <v>504.15</v>
      </c>
      <c r="W40" s="776" t="str">
        <f t="shared" si="66"/>
        <v/>
      </c>
      <c r="X40" s="777" t="str">
        <f t="shared" si="67"/>
        <v>L</v>
      </c>
      <c r="Z40" s="315" t="b">
        <f t="shared" si="23"/>
        <v>1</v>
      </c>
      <c r="AA40" s="315" t="b">
        <f t="shared" si="24"/>
        <v>0</v>
      </c>
      <c r="AB40" s="315" t="b">
        <f t="shared" si="25"/>
        <v>0</v>
      </c>
      <c r="AC40" s="315" t="b">
        <f t="shared" si="26"/>
        <v>1</v>
      </c>
      <c r="AD40" s="315" t="b">
        <f t="shared" si="27"/>
        <v>0</v>
      </c>
      <c r="AE40" s="315" t="b">
        <f t="shared" si="28"/>
        <v>1</v>
      </c>
      <c r="AF40" s="315" t="b">
        <f t="shared" si="29"/>
        <v>1</v>
      </c>
      <c r="AG40" s="315" t="b">
        <f t="shared" si="30"/>
        <v>1</v>
      </c>
      <c r="AH40" s="315" t="b">
        <f t="shared" si="31"/>
        <v>0</v>
      </c>
      <c r="AI40" s="315" t="b">
        <f t="shared" si="32"/>
        <v>0</v>
      </c>
      <c r="AJ40" s="315" t="b">
        <f t="shared" si="33"/>
        <v>1</v>
      </c>
      <c r="AK40" s="315" t="b">
        <f t="shared" si="34"/>
        <v>0</v>
      </c>
      <c r="AL40" s="809" t="str">
        <f t="shared" si="35"/>
        <v/>
      </c>
      <c r="AM40" s="810">
        <f t="shared" si="36"/>
        <v>1</v>
      </c>
      <c r="AN40" s="810">
        <f t="shared" si="37"/>
        <v>1</v>
      </c>
      <c r="AO40" s="810" t="str">
        <f t="shared" si="38"/>
        <v/>
      </c>
      <c r="AP40" s="810">
        <f t="shared" si="39"/>
        <v>1</v>
      </c>
      <c r="AQ40" s="810" t="str">
        <f t="shared" si="40"/>
        <v/>
      </c>
      <c r="AR40" s="810" t="str">
        <f t="shared" si="41"/>
        <v/>
      </c>
      <c r="AS40" s="810" t="str">
        <f t="shared" si="42"/>
        <v/>
      </c>
      <c r="AT40" s="810">
        <f t="shared" si="43"/>
        <v>1</v>
      </c>
      <c r="AU40" s="810">
        <f t="shared" si="44"/>
        <v>1</v>
      </c>
      <c r="AV40" s="810" t="str">
        <f t="shared" si="45"/>
        <v/>
      </c>
      <c r="AW40" s="814">
        <f t="shared" si="45"/>
        <v>1</v>
      </c>
    </row>
    <row r="41" spans="1:49" s="315" customFormat="1">
      <c r="A41" s="794" t="str">
        <f t="shared" si="46"/>
        <v>Ca 1,</v>
      </c>
      <c r="B41" s="314" t="s">
        <v>292</v>
      </c>
      <c r="C41" s="314" t="str">
        <f t="shared" si="47"/>
        <v>Nồng độ acid đặc (15,16,17)
鹽酸 濃度</v>
      </c>
      <c r="D41" s="314" t="str">
        <f t="shared" si="48"/>
        <v>XT-000C</v>
      </c>
      <c r="E41" s="314" t="str">
        <f t="shared" si="49"/>
        <v>%V/V</v>
      </c>
      <c r="F41" s="314" t="str">
        <f t="shared" si="50"/>
        <v>40~50</v>
      </c>
      <c r="G41" s="783">
        <f t="shared" si="51"/>
        <v>1.98</v>
      </c>
      <c r="H41" s="783" t="str">
        <f t="shared" si="52"/>
        <v>+</v>
      </c>
      <c r="I41" s="788">
        <f t="shared" si="53"/>
        <v>0</v>
      </c>
      <c r="J41" s="783" t="str">
        <f t="shared" si="7"/>
        <v>L</v>
      </c>
      <c r="K41" s="783">
        <f t="shared" si="54"/>
        <v>-65.681249999999764</v>
      </c>
      <c r="L41" s="788" t="str">
        <f t="shared" si="55"/>
        <v>+</v>
      </c>
      <c r="M41" s="783" t="str">
        <f t="shared" si="56"/>
        <v/>
      </c>
      <c r="N41" s="783">
        <f t="shared" si="57"/>
        <v>0.45624999999999999</v>
      </c>
      <c r="O41" s="788">
        <f t="shared" si="58"/>
        <v>-65.681249999999764</v>
      </c>
      <c r="P41" s="783">
        <f t="shared" si="59"/>
        <v>0</v>
      </c>
      <c r="Q41" s="783">
        <f t="shared" si="60"/>
        <v>0</v>
      </c>
      <c r="R41" s="788">
        <f t="shared" si="61"/>
        <v>0</v>
      </c>
      <c r="S41" s="783" t="str">
        <f t="shared" si="62"/>
        <v>+</v>
      </c>
      <c r="T41" s="776" t="str">
        <f t="shared" si="63"/>
        <v>L</v>
      </c>
      <c r="U41" s="777">
        <f t="shared" si="64"/>
        <v>0</v>
      </c>
      <c r="V41" s="783">
        <f t="shared" si="65"/>
        <v>4729.05</v>
      </c>
      <c r="W41" s="776" t="str">
        <f t="shared" si="66"/>
        <v/>
      </c>
      <c r="X41" s="777" t="str">
        <f t="shared" si="67"/>
        <v>L</v>
      </c>
      <c r="Z41" s="315" t="b">
        <f t="shared" si="23"/>
        <v>1</v>
      </c>
      <c r="AA41" s="315" t="b">
        <f t="shared" si="24"/>
        <v>0</v>
      </c>
      <c r="AB41" s="315" t="b">
        <f t="shared" si="25"/>
        <v>0</v>
      </c>
      <c r="AC41" s="315" t="b">
        <f t="shared" si="26"/>
        <v>1</v>
      </c>
      <c r="AD41" s="315" t="b">
        <f t="shared" si="27"/>
        <v>0</v>
      </c>
      <c r="AE41" s="315" t="b">
        <f t="shared" si="28"/>
        <v>1</v>
      </c>
      <c r="AF41" s="315" t="b">
        <f t="shared" si="29"/>
        <v>1</v>
      </c>
      <c r="AG41" s="315" t="b">
        <f t="shared" si="30"/>
        <v>1</v>
      </c>
      <c r="AH41" s="315" t="b">
        <f t="shared" si="31"/>
        <v>0</v>
      </c>
      <c r="AI41" s="315" t="b">
        <f t="shared" si="32"/>
        <v>0</v>
      </c>
      <c r="AJ41" s="315" t="b">
        <f t="shared" si="33"/>
        <v>1</v>
      </c>
      <c r="AK41" s="315" t="b">
        <f t="shared" si="34"/>
        <v>0</v>
      </c>
      <c r="AL41" s="809" t="str">
        <f t="shared" si="35"/>
        <v/>
      </c>
      <c r="AM41" s="810">
        <f t="shared" si="36"/>
        <v>1</v>
      </c>
      <c r="AN41" s="810">
        <f t="shared" si="37"/>
        <v>1</v>
      </c>
      <c r="AO41" s="810" t="str">
        <f t="shared" si="38"/>
        <v/>
      </c>
      <c r="AP41" s="810">
        <f t="shared" si="39"/>
        <v>1</v>
      </c>
      <c r="AQ41" s="810" t="str">
        <f t="shared" si="40"/>
        <v/>
      </c>
      <c r="AR41" s="810" t="str">
        <f t="shared" si="41"/>
        <v/>
      </c>
      <c r="AS41" s="810" t="str">
        <f t="shared" si="42"/>
        <v/>
      </c>
      <c r="AT41" s="810">
        <f t="shared" si="43"/>
        <v>1</v>
      </c>
      <c r="AU41" s="810">
        <f t="shared" si="44"/>
        <v>1</v>
      </c>
      <c r="AV41" s="810" t="str">
        <f t="shared" si="45"/>
        <v/>
      </c>
      <c r="AW41" s="814">
        <f t="shared" si="45"/>
        <v>1</v>
      </c>
    </row>
    <row r="42" spans="1:49" s="315" customFormat="1">
      <c r="A42" s="794" t="str">
        <f t="shared" si="46"/>
        <v>Ca 1,</v>
      </c>
      <c r="B42" s="314" t="s">
        <v>293</v>
      </c>
      <c r="C42" s="314" t="str">
        <f t="shared" si="47"/>
        <v>Nồng độ acid đặc (12)
鹽酸 濃度</v>
      </c>
      <c r="D42" s="314">
        <f t="shared" si="48"/>
        <v>0</v>
      </c>
      <c r="E42" s="314" t="str">
        <f t="shared" si="49"/>
        <v>%V/V</v>
      </c>
      <c r="F42" s="314" t="str">
        <f t="shared" si="50"/>
        <v>40~50</v>
      </c>
      <c r="G42" s="783">
        <f t="shared" si="51"/>
        <v>1.7</v>
      </c>
      <c r="H42" s="783" t="str">
        <f t="shared" si="52"/>
        <v>+</v>
      </c>
      <c r="I42" s="788">
        <f t="shared" si="53"/>
        <v>201.11437500000002</v>
      </c>
      <c r="J42" s="783" t="str">
        <f t="shared" si="7"/>
        <v>L</v>
      </c>
      <c r="K42" s="783">
        <f t="shared" si="54"/>
        <v>-20.212499999999928</v>
      </c>
      <c r="L42" s="788" t="str">
        <f t="shared" si="55"/>
        <v>+</v>
      </c>
      <c r="M42" s="783" t="str">
        <f t="shared" si="56"/>
        <v/>
      </c>
      <c r="N42" s="783">
        <f t="shared" si="57"/>
        <v>0.49274999999999997</v>
      </c>
      <c r="O42" s="788">
        <f t="shared" si="58"/>
        <v>-138.25349999999986</v>
      </c>
      <c r="P42" s="783">
        <f t="shared" si="59"/>
        <v>0</v>
      </c>
      <c r="Q42" s="783">
        <f t="shared" si="60"/>
        <v>0</v>
      </c>
      <c r="R42" s="788">
        <f t="shared" si="61"/>
        <v>0</v>
      </c>
      <c r="S42" s="783" t="str">
        <f t="shared" si="62"/>
        <v>+</v>
      </c>
      <c r="T42" s="776" t="str">
        <f t="shared" si="63"/>
        <v>L</v>
      </c>
      <c r="U42" s="777">
        <f t="shared" si="64"/>
        <v>0</v>
      </c>
      <c r="V42" s="783">
        <f t="shared" si="65"/>
        <v>1455.3</v>
      </c>
      <c r="W42" s="776" t="str">
        <f t="shared" si="66"/>
        <v/>
      </c>
      <c r="X42" s="777" t="str">
        <f t="shared" si="67"/>
        <v>L</v>
      </c>
      <c r="Z42" s="315" t="b">
        <f t="shared" si="23"/>
        <v>1</v>
      </c>
      <c r="AA42" s="315" t="b">
        <f t="shared" si="24"/>
        <v>0</v>
      </c>
      <c r="AB42" s="315" t="b">
        <f t="shared" si="25"/>
        <v>0</v>
      </c>
      <c r="AC42" s="315" t="b">
        <f t="shared" si="26"/>
        <v>1</v>
      </c>
      <c r="AD42" s="315" t="b">
        <f t="shared" si="27"/>
        <v>0</v>
      </c>
      <c r="AE42" s="315" t="b">
        <f t="shared" si="28"/>
        <v>1</v>
      </c>
      <c r="AF42" s="315" t="b">
        <f t="shared" si="29"/>
        <v>1</v>
      </c>
      <c r="AG42" s="315" t="b">
        <f t="shared" si="30"/>
        <v>1</v>
      </c>
      <c r="AH42" s="315" t="b">
        <f t="shared" si="31"/>
        <v>0</v>
      </c>
      <c r="AI42" s="315" t="b">
        <f t="shared" si="32"/>
        <v>0</v>
      </c>
      <c r="AJ42" s="315" t="b">
        <f t="shared" si="33"/>
        <v>1</v>
      </c>
      <c r="AK42" s="315" t="b">
        <f t="shared" si="34"/>
        <v>0</v>
      </c>
      <c r="AL42" s="809" t="str">
        <f t="shared" si="35"/>
        <v/>
      </c>
      <c r="AM42" s="810">
        <f t="shared" si="36"/>
        <v>1</v>
      </c>
      <c r="AN42" s="810">
        <f t="shared" si="37"/>
        <v>1</v>
      </c>
      <c r="AO42" s="810" t="str">
        <f t="shared" si="38"/>
        <v/>
      </c>
      <c r="AP42" s="810">
        <f t="shared" si="39"/>
        <v>1</v>
      </c>
      <c r="AQ42" s="810" t="str">
        <f t="shared" si="40"/>
        <v/>
      </c>
      <c r="AR42" s="810" t="str">
        <f t="shared" si="41"/>
        <v/>
      </c>
      <c r="AS42" s="810" t="str">
        <f t="shared" si="42"/>
        <v/>
      </c>
      <c r="AT42" s="810">
        <f t="shared" si="43"/>
        <v>1</v>
      </c>
      <c r="AU42" s="810">
        <f t="shared" si="44"/>
        <v>1</v>
      </c>
      <c r="AV42" s="810" t="str">
        <f t="shared" si="45"/>
        <v/>
      </c>
      <c r="AW42" s="814">
        <f t="shared" si="45"/>
        <v>1</v>
      </c>
    </row>
    <row r="43" spans="1:49" s="315" customFormat="1">
      <c r="A43" s="794" t="str">
        <f t="shared" si="46"/>
        <v>Ca 1,</v>
      </c>
      <c r="B43" s="314" t="s">
        <v>294</v>
      </c>
      <c r="C43" s="314" t="str">
        <f t="shared" si="47"/>
        <v>Nồng độ HNO3  (42)
硝酸濃度</v>
      </c>
      <c r="D43" s="314" t="str">
        <f t="shared" si="48"/>
        <v>XT-000C</v>
      </c>
      <c r="E43" s="314" t="str">
        <f t="shared" si="49"/>
        <v>%V/V</v>
      </c>
      <c r="F43" s="314" t="str">
        <f t="shared" si="50"/>
        <v>0.5~1.0</v>
      </c>
      <c r="G43" s="783">
        <f t="shared" si="51"/>
        <v>5.9</v>
      </c>
      <c r="H43" s="783" t="str">
        <f t="shared" si="52"/>
        <v>+</v>
      </c>
      <c r="I43" s="788">
        <f t="shared" si="53"/>
        <v>0</v>
      </c>
      <c r="J43" s="783" t="str">
        <f t="shared" si="7"/>
        <v>L</v>
      </c>
      <c r="K43" s="783">
        <f t="shared" si="54"/>
        <v>-0.16021192052980024</v>
      </c>
      <c r="L43" s="788" t="str">
        <f t="shared" si="55"/>
        <v>+</v>
      </c>
      <c r="M43" s="783" t="str">
        <f t="shared" si="56"/>
        <v/>
      </c>
      <c r="N43" s="783">
        <f t="shared" si="57"/>
        <v>7.3080000000000003E-3</v>
      </c>
      <c r="O43" s="788">
        <f t="shared" si="58"/>
        <v>-0.88116556291390757</v>
      </c>
      <c r="P43" s="783">
        <f t="shared" si="59"/>
        <v>0</v>
      </c>
      <c r="Q43" s="783">
        <f t="shared" si="60"/>
        <v>0</v>
      </c>
      <c r="R43" s="788">
        <f t="shared" si="61"/>
        <v>0</v>
      </c>
      <c r="S43" s="783" t="str">
        <f t="shared" si="62"/>
        <v>+</v>
      </c>
      <c r="T43" s="776" t="str">
        <f t="shared" si="63"/>
        <v>L</v>
      </c>
      <c r="U43" s="777">
        <f t="shared" si="64"/>
        <v>0</v>
      </c>
      <c r="V43" s="783">
        <f t="shared" si="65"/>
        <v>20.026490066225165</v>
      </c>
      <c r="W43" s="776" t="str">
        <f t="shared" si="66"/>
        <v/>
      </c>
      <c r="X43" s="777" t="str">
        <f t="shared" si="67"/>
        <v>L</v>
      </c>
      <c r="Z43" s="315" t="b">
        <f t="shared" si="23"/>
        <v>1</v>
      </c>
      <c r="AA43" s="315" t="b">
        <f t="shared" si="24"/>
        <v>0</v>
      </c>
      <c r="AB43" s="315" t="b">
        <f t="shared" si="25"/>
        <v>0</v>
      </c>
      <c r="AC43" s="315" t="b">
        <f t="shared" si="26"/>
        <v>1</v>
      </c>
      <c r="AD43" s="315" t="b">
        <f t="shared" si="27"/>
        <v>0</v>
      </c>
      <c r="AE43" s="315" t="b">
        <f t="shared" si="28"/>
        <v>1</v>
      </c>
      <c r="AF43" s="315" t="b">
        <f t="shared" si="29"/>
        <v>1</v>
      </c>
      <c r="AG43" s="315" t="b">
        <f t="shared" si="30"/>
        <v>1</v>
      </c>
      <c r="AH43" s="315" t="b">
        <f t="shared" si="31"/>
        <v>0</v>
      </c>
      <c r="AI43" s="315" t="b">
        <f t="shared" si="32"/>
        <v>0</v>
      </c>
      <c r="AJ43" s="315" t="b">
        <f t="shared" si="33"/>
        <v>1</v>
      </c>
      <c r="AK43" s="315" t="b">
        <f t="shared" si="34"/>
        <v>0</v>
      </c>
      <c r="AL43" s="809" t="str">
        <f t="shared" si="35"/>
        <v/>
      </c>
      <c r="AM43" s="810">
        <f t="shared" si="36"/>
        <v>1</v>
      </c>
      <c r="AN43" s="810">
        <f t="shared" si="37"/>
        <v>1</v>
      </c>
      <c r="AO43" s="810" t="str">
        <f t="shared" si="38"/>
        <v/>
      </c>
      <c r="AP43" s="810">
        <f t="shared" si="39"/>
        <v>1</v>
      </c>
      <c r="AQ43" s="810" t="str">
        <f t="shared" si="40"/>
        <v/>
      </c>
      <c r="AR43" s="810" t="str">
        <f t="shared" si="41"/>
        <v/>
      </c>
      <c r="AS43" s="810" t="str">
        <f t="shared" si="42"/>
        <v/>
      </c>
      <c r="AT43" s="810">
        <f t="shared" si="43"/>
        <v>1</v>
      </c>
      <c r="AU43" s="810">
        <f t="shared" si="44"/>
        <v>1</v>
      </c>
      <c r="AV43" s="810" t="str">
        <f t="shared" si="45"/>
        <v/>
      </c>
      <c r="AW43" s="814">
        <f t="shared" si="45"/>
        <v>1</v>
      </c>
    </row>
    <row r="44" spans="1:49" s="315" customFormat="1">
      <c r="A44" s="794" t="str">
        <f t="shared" si="46"/>
        <v>Ca 1,</v>
      </c>
      <c r="B44" s="314" t="s">
        <v>304</v>
      </c>
      <c r="C44" s="314" t="str">
        <f t="shared" si="47"/>
        <v>chất bóng (250 brightener)
光亮劑</v>
      </c>
      <c r="D44" s="314" t="str">
        <f t="shared" si="48"/>
        <v>XT-000C</v>
      </c>
      <c r="E44" s="314" t="str">
        <f t="shared" si="49"/>
        <v>ml/1000
AH</v>
      </c>
      <c r="F44" s="314" t="str">
        <f t="shared" si="50"/>
        <v>30~50 
(40)</v>
      </c>
      <c r="G44" s="783">
        <f t="shared" si="51"/>
        <v>0</v>
      </c>
      <c r="H44" s="783">
        <f t="shared" si="52"/>
        <v>0</v>
      </c>
      <c r="I44" s="788">
        <f t="shared" si="53"/>
        <v>0</v>
      </c>
      <c r="J44" s="783">
        <f t="shared" si="7"/>
        <v>0</v>
      </c>
      <c r="K44" s="783">
        <f t="shared" si="54"/>
        <v>0</v>
      </c>
      <c r="L44" s="788">
        <f t="shared" si="55"/>
        <v>0</v>
      </c>
      <c r="M44" s="783">
        <f t="shared" si="56"/>
        <v>0</v>
      </c>
      <c r="N44" s="783">
        <f t="shared" si="57"/>
        <v>42</v>
      </c>
      <c r="O44" s="788">
        <f t="shared" si="58"/>
        <v>0</v>
      </c>
      <c r="P44" s="783">
        <f t="shared" si="59"/>
        <v>0</v>
      </c>
      <c r="Q44" s="783">
        <f t="shared" si="60"/>
        <v>0</v>
      </c>
      <c r="R44" s="788">
        <f t="shared" si="61"/>
        <v>0</v>
      </c>
      <c r="S44" s="783">
        <f t="shared" si="62"/>
        <v>0</v>
      </c>
      <c r="T44" s="776">
        <f t="shared" si="63"/>
        <v>0</v>
      </c>
      <c r="U44" s="777">
        <f t="shared" si="64"/>
        <v>0</v>
      </c>
      <c r="V44" s="783">
        <f t="shared" si="65"/>
        <v>0</v>
      </c>
      <c r="W44" s="776">
        <f t="shared" si="66"/>
        <v>0</v>
      </c>
      <c r="X44" s="777">
        <f t="shared" si="67"/>
        <v>0</v>
      </c>
      <c r="Z44" s="315" t="b">
        <f t="shared" si="23"/>
        <v>1</v>
      </c>
      <c r="AA44" s="315" t="b">
        <f t="shared" si="24"/>
        <v>1</v>
      </c>
      <c r="AB44" s="315" t="b">
        <f t="shared" si="25"/>
        <v>1</v>
      </c>
      <c r="AC44" s="315" t="b">
        <f t="shared" si="26"/>
        <v>1</v>
      </c>
      <c r="AD44" s="315" t="b">
        <f t="shared" si="27"/>
        <v>1</v>
      </c>
      <c r="AE44" s="315" t="b">
        <f t="shared" si="28"/>
        <v>1</v>
      </c>
      <c r="AF44" s="315" t="b">
        <f t="shared" si="29"/>
        <v>1</v>
      </c>
      <c r="AG44" s="315" t="b">
        <f t="shared" si="30"/>
        <v>1</v>
      </c>
      <c r="AH44" s="315" t="b">
        <f t="shared" si="31"/>
        <v>1</v>
      </c>
      <c r="AI44" s="315" t="b">
        <f t="shared" si="32"/>
        <v>1</v>
      </c>
      <c r="AJ44" s="315" t="b">
        <f t="shared" si="33"/>
        <v>1</v>
      </c>
      <c r="AK44" s="315" t="b">
        <f t="shared" si="34"/>
        <v>1</v>
      </c>
      <c r="AL44" s="809" t="str">
        <f t="shared" si="35"/>
        <v/>
      </c>
      <c r="AM44" s="810" t="str">
        <f t="shared" si="36"/>
        <v/>
      </c>
      <c r="AN44" s="810" t="str">
        <f t="shared" si="37"/>
        <v/>
      </c>
      <c r="AO44" s="810" t="str">
        <f t="shared" si="38"/>
        <v/>
      </c>
      <c r="AP44" s="810" t="str">
        <f t="shared" si="39"/>
        <v/>
      </c>
      <c r="AQ44" s="810" t="str">
        <f t="shared" si="40"/>
        <v/>
      </c>
      <c r="AR44" s="810" t="str">
        <f t="shared" si="41"/>
        <v/>
      </c>
      <c r="AS44" s="810" t="str">
        <f t="shared" si="42"/>
        <v/>
      </c>
      <c r="AT44" s="810" t="str">
        <f t="shared" si="43"/>
        <v/>
      </c>
      <c r="AU44" s="810" t="str">
        <f t="shared" si="44"/>
        <v/>
      </c>
      <c r="AV44" s="810" t="str">
        <f t="shared" si="45"/>
        <v/>
      </c>
      <c r="AW44" s="814" t="str">
        <f t="shared" si="45"/>
        <v/>
      </c>
    </row>
    <row r="45" spans="1:49" s="315" customFormat="1">
      <c r="A45" s="794" t="str">
        <f t="shared" si="46"/>
        <v>Ca 1,</v>
      </c>
      <c r="B45" s="314" t="s">
        <v>305</v>
      </c>
      <c r="C45" s="314" t="str">
        <f t="shared" si="47"/>
        <v>chất mềm (250 base)
開缸劑</v>
      </c>
      <c r="D45" s="314" t="str">
        <f t="shared" si="48"/>
        <v>XT-000C</v>
      </c>
      <c r="E45" s="314" t="str">
        <f t="shared" si="49"/>
        <v>ml/1000
AH</v>
      </c>
      <c r="F45" s="314" t="str">
        <f t="shared" si="50"/>
        <v>160~220
(180)</v>
      </c>
      <c r="G45" s="783">
        <f t="shared" si="51"/>
        <v>0</v>
      </c>
      <c r="H45" s="783">
        <f t="shared" si="52"/>
        <v>0</v>
      </c>
      <c r="I45" s="788">
        <f t="shared" si="53"/>
        <v>0</v>
      </c>
      <c r="J45" s="783">
        <f t="shared" ref="J45" si="68">IFERROR(VLOOKUP($B45,_XM_XT_THUCTE,14,0),"")</f>
        <v>0</v>
      </c>
      <c r="K45" s="783">
        <f t="shared" si="54"/>
        <v>0</v>
      </c>
      <c r="L45" s="788">
        <f t="shared" si="55"/>
        <v>0</v>
      </c>
      <c r="M45" s="783">
        <f t="shared" si="56"/>
        <v>0</v>
      </c>
      <c r="N45" s="783">
        <f t="shared" si="57"/>
        <v>200</v>
      </c>
      <c r="O45" s="788">
        <f t="shared" si="58"/>
        <v>0</v>
      </c>
      <c r="P45" s="783">
        <f t="shared" si="59"/>
        <v>0</v>
      </c>
      <c r="Q45" s="783">
        <f t="shared" si="60"/>
        <v>0</v>
      </c>
      <c r="R45" s="788">
        <f t="shared" si="61"/>
        <v>0</v>
      </c>
      <c r="S45" s="783">
        <f t="shared" si="62"/>
        <v>0</v>
      </c>
      <c r="T45" s="776">
        <f t="shared" si="63"/>
        <v>0</v>
      </c>
      <c r="U45" s="777">
        <f t="shared" si="64"/>
        <v>0</v>
      </c>
      <c r="V45" s="783">
        <f t="shared" si="65"/>
        <v>0</v>
      </c>
      <c r="W45" s="776">
        <f t="shared" si="66"/>
        <v>0</v>
      </c>
      <c r="X45" s="777">
        <f t="shared" si="67"/>
        <v>0</v>
      </c>
      <c r="Z45" s="315" t="b">
        <f t="shared" si="23"/>
        <v>1</v>
      </c>
      <c r="AA45" s="315" t="b">
        <f t="shared" si="24"/>
        <v>1</v>
      </c>
      <c r="AB45" s="315" t="b">
        <f t="shared" si="25"/>
        <v>1</v>
      </c>
      <c r="AC45" s="315" t="b">
        <f t="shared" si="26"/>
        <v>1</v>
      </c>
      <c r="AD45" s="315" t="b">
        <f t="shared" si="27"/>
        <v>1</v>
      </c>
      <c r="AE45" s="315" t="b">
        <f t="shared" si="28"/>
        <v>1</v>
      </c>
      <c r="AF45" s="315" t="b">
        <f t="shared" si="29"/>
        <v>1</v>
      </c>
      <c r="AG45" s="315" t="b">
        <f t="shared" si="30"/>
        <v>1</v>
      </c>
      <c r="AH45" s="315" t="b">
        <f t="shared" si="31"/>
        <v>1</v>
      </c>
      <c r="AI45" s="315" t="b">
        <f t="shared" si="32"/>
        <v>1</v>
      </c>
      <c r="AJ45" s="315" t="b">
        <f t="shared" si="33"/>
        <v>1</v>
      </c>
      <c r="AK45" s="315" t="b">
        <f t="shared" si="34"/>
        <v>1</v>
      </c>
      <c r="AL45" s="809" t="str">
        <f t="shared" si="35"/>
        <v/>
      </c>
      <c r="AM45" s="810" t="str">
        <f t="shared" si="36"/>
        <v/>
      </c>
      <c r="AN45" s="810" t="str">
        <f t="shared" si="37"/>
        <v/>
      </c>
      <c r="AO45" s="810" t="str">
        <f t="shared" si="38"/>
        <v/>
      </c>
      <c r="AP45" s="810" t="str">
        <f t="shared" si="39"/>
        <v/>
      </c>
      <c r="AQ45" s="810" t="str">
        <f t="shared" si="40"/>
        <v/>
      </c>
      <c r="AR45" s="810" t="str">
        <f t="shared" si="41"/>
        <v/>
      </c>
      <c r="AS45" s="810" t="str">
        <f t="shared" si="42"/>
        <v/>
      </c>
      <c r="AT45" s="810" t="str">
        <f t="shared" si="43"/>
        <v/>
      </c>
      <c r="AU45" s="810" t="str">
        <f t="shared" si="44"/>
        <v/>
      </c>
      <c r="AV45" s="810" t="str">
        <f t="shared" si="45"/>
        <v/>
      </c>
      <c r="AW45" s="814" t="str">
        <f t="shared" si="45"/>
        <v/>
      </c>
    </row>
    <row r="46" spans="1:49" s="792" customFormat="1">
      <c r="A46" s="879" t="str">
        <f t="shared" si="46"/>
        <v>Ca 1,</v>
      </c>
      <c r="B46" s="791" t="s">
        <v>422</v>
      </c>
      <c r="C46" s="791" t="str">
        <f t="shared" ref="C46:C74" si="69">IFERROR(VLOOKUP($B46,RLMLXD,2,0),"")</f>
        <v>Rua acid (1) 鹽酸洗槽</v>
      </c>
      <c r="D46" s="791" t="str">
        <f t="shared" ref="D46:D74" si="70">IFERROR(VLOOKUP($B46,RLMLXD,43,0),"")</f>
        <v>CR-000E</v>
      </c>
      <c r="E46" s="791" t="str">
        <f t="shared" ref="E46:E74" si="71">IFERROR(VLOOKUP($B46,RLMLXD,4,0),"")</f>
        <v>%</v>
      </c>
      <c r="F46" s="791" t="str">
        <f t="shared" ref="F46:F74" si="72">IFERROR(VLOOKUP($B46,RLMLXD,5,0),"")</f>
        <v>10~15%  (12.5%)</v>
      </c>
      <c r="G46" s="778">
        <f t="shared" ref="G46:G99" si="73">IFERROR(VLOOKUP($B46,RLMLXD,8,0),"")</f>
        <v>0</v>
      </c>
      <c r="H46" s="778">
        <f t="shared" ref="H46:H99" si="74">IFERROR(VLOOKUP($B46,RLMLXD,11,0),"")</f>
        <v>0</v>
      </c>
      <c r="I46" s="779" t="str">
        <f t="shared" ref="I46:I99" si="75">IFERROR(VLOOKUP($B46,RLMLXD,12,0),"")</f>
        <v>L</v>
      </c>
      <c r="J46" s="778">
        <f t="shared" ref="J46:J99" si="76">IFERROR(VLOOKUP($B46,RLMLXD,14,0),"")</f>
        <v>0</v>
      </c>
      <c r="K46" s="778">
        <f t="shared" ref="K46:K99" si="77">IFERROR(VLOOKUP($B46,RLMLXD,17,0),"")</f>
        <v>0</v>
      </c>
      <c r="L46" s="779" t="str">
        <f t="shared" ref="L46:L99" si="78">IFERROR(VLOOKUP($B46,RLMLXD,18,0),"")</f>
        <v>L</v>
      </c>
      <c r="M46" s="778">
        <f t="shared" ref="M46:M99" si="79">IFERROR(VLOOKUP($B46,RLMLXD,20,0),"")</f>
        <v>0</v>
      </c>
      <c r="N46" s="778">
        <f t="shared" ref="N46:N99" si="80">IFERROR(VLOOKUP($B46,RLMLXD,23,0),"")</f>
        <v>0</v>
      </c>
      <c r="O46" s="779" t="str">
        <f t="shared" ref="O46:O99" si="81">IFERROR(VLOOKUP($B46,RLMLXD,24,0),"")</f>
        <v>L</v>
      </c>
      <c r="P46" s="778">
        <f t="shared" ref="P46:P99" si="82">IFERROR(VLOOKUP($B46,RLMLXD,26,0),"")</f>
        <v>0</v>
      </c>
      <c r="Q46" s="778">
        <f t="shared" ref="Q46:Q99" si="83">IFERROR(VLOOKUP($B46,RLMLXD,29,0),"")</f>
        <v>0</v>
      </c>
      <c r="R46" s="779" t="str">
        <f t="shared" ref="R46:R99" si="84">IFERROR(VLOOKUP($B46,RLMLXD,30,0),"")</f>
        <v>L</v>
      </c>
      <c r="S46" s="778">
        <f t="shared" ref="S46:S99" si="85">IFERROR(VLOOKUP($B46,RLMLXD,32,0),"")</f>
        <v>0</v>
      </c>
      <c r="T46" s="778">
        <f t="shared" ref="T46:T99" si="86">IFERROR(VLOOKUP($B46,RLMLXD,35,0),"")</f>
        <v>0</v>
      </c>
      <c r="U46" s="779" t="str">
        <f t="shared" ref="U46:U99" si="87">IFERROR(VLOOKUP($B46,RLMLXD,36,0),"")</f>
        <v>L</v>
      </c>
      <c r="V46" s="778">
        <f t="shared" ref="V46:V99" si="88">IFERROR(VLOOKUP($B46,RLMLXD,38,0),"")</f>
        <v>0</v>
      </c>
      <c r="W46" s="778">
        <f t="shared" ref="W46:W99" si="89">IFERROR(VLOOKUP($B46,RLMLXD,41,0),"")</f>
        <v>0</v>
      </c>
      <c r="X46" s="779" t="str">
        <f t="shared" ref="X46:X99" si="90">IFERROR(VLOOKUP($B46,RLMLXD,42,0),"")</f>
        <v>L</v>
      </c>
      <c r="Z46" s="793" t="b">
        <f t="shared" si="23"/>
        <v>1</v>
      </c>
      <c r="AA46" s="793" t="b">
        <f t="shared" si="24"/>
        <v>1</v>
      </c>
      <c r="AB46" s="793" t="b">
        <f t="shared" si="25"/>
        <v>1</v>
      </c>
      <c r="AC46" s="793" t="b">
        <f t="shared" si="26"/>
        <v>1</v>
      </c>
      <c r="AD46" s="793" t="b">
        <f t="shared" si="27"/>
        <v>1</v>
      </c>
      <c r="AE46" s="793" t="b">
        <f t="shared" si="28"/>
        <v>1</v>
      </c>
      <c r="AF46" s="793" t="b">
        <f t="shared" si="29"/>
        <v>1</v>
      </c>
      <c r="AG46" s="793" t="b">
        <f t="shared" si="30"/>
        <v>1</v>
      </c>
      <c r="AH46" s="793" t="b">
        <f t="shared" si="31"/>
        <v>1</v>
      </c>
      <c r="AI46" s="793" t="b">
        <f t="shared" si="32"/>
        <v>1</v>
      </c>
      <c r="AJ46" s="793" t="b">
        <f t="shared" si="33"/>
        <v>1</v>
      </c>
      <c r="AK46" s="793" t="b">
        <f t="shared" si="34"/>
        <v>1</v>
      </c>
      <c r="AL46" s="880" t="str">
        <f t="shared" si="35"/>
        <v/>
      </c>
      <c r="AM46" s="881" t="str">
        <f t="shared" si="36"/>
        <v/>
      </c>
      <c r="AN46" s="881" t="str">
        <f t="shared" si="37"/>
        <v/>
      </c>
      <c r="AO46" s="881" t="str">
        <f t="shared" si="38"/>
        <v/>
      </c>
      <c r="AP46" s="881" t="str">
        <f t="shared" si="39"/>
        <v/>
      </c>
      <c r="AQ46" s="881" t="str">
        <f t="shared" si="40"/>
        <v/>
      </c>
      <c r="AR46" s="881" t="str">
        <f t="shared" si="41"/>
        <v/>
      </c>
      <c r="AS46" s="881" t="str">
        <f t="shared" si="42"/>
        <v/>
      </c>
      <c r="AT46" s="881" t="str">
        <f t="shared" si="43"/>
        <v/>
      </c>
      <c r="AU46" s="881" t="str">
        <f t="shared" si="44"/>
        <v/>
      </c>
      <c r="AV46" s="881" t="str">
        <f t="shared" si="45"/>
        <v/>
      </c>
      <c r="AW46" s="882" t="str">
        <f t="shared" si="45"/>
        <v/>
      </c>
    </row>
    <row r="47" spans="1:49">
      <c r="A47" s="794" t="str">
        <f t="shared" si="46"/>
        <v>Ca 1,</v>
      </c>
      <c r="B47" s="314" t="s">
        <v>426</v>
      </c>
      <c r="C47" s="314" t="str">
        <f t="shared" si="69"/>
        <v>Rua acid (2) 鹽酸洗槽</v>
      </c>
      <c r="D47" s="314" t="str">
        <f t="shared" si="70"/>
        <v>CR-000E</v>
      </c>
      <c r="E47" s="314" t="str">
        <f t="shared" si="71"/>
        <v>%</v>
      </c>
      <c r="F47" s="314" t="str">
        <f t="shared" si="72"/>
        <v>10~15%  (12.5%)</v>
      </c>
      <c r="G47" s="783">
        <f t="shared" si="73"/>
        <v>0</v>
      </c>
      <c r="H47" s="783">
        <f t="shared" si="74"/>
        <v>292.1875</v>
      </c>
      <c r="I47" s="788" t="str">
        <f t="shared" si="75"/>
        <v>L</v>
      </c>
      <c r="J47" s="783">
        <f t="shared" si="76"/>
        <v>0</v>
      </c>
      <c r="K47" s="783">
        <f t="shared" si="77"/>
        <v>292.1875</v>
      </c>
      <c r="L47" s="788" t="str">
        <f t="shared" si="78"/>
        <v>L</v>
      </c>
      <c r="M47" s="783">
        <f t="shared" si="79"/>
        <v>0</v>
      </c>
      <c r="N47" s="783">
        <f t="shared" si="80"/>
        <v>292.1875</v>
      </c>
      <c r="O47" s="788" t="str">
        <f t="shared" si="81"/>
        <v>L</v>
      </c>
      <c r="P47" s="783">
        <f t="shared" si="82"/>
        <v>0</v>
      </c>
      <c r="Q47" s="783">
        <f t="shared" si="83"/>
        <v>292.1875</v>
      </c>
      <c r="R47" s="788" t="str">
        <f t="shared" si="84"/>
        <v>L</v>
      </c>
      <c r="S47" s="783">
        <f t="shared" si="85"/>
        <v>0</v>
      </c>
      <c r="T47" s="776">
        <f t="shared" si="86"/>
        <v>292.1875</v>
      </c>
      <c r="U47" s="777" t="str">
        <f t="shared" si="87"/>
        <v>L</v>
      </c>
      <c r="V47" s="783">
        <f t="shared" si="88"/>
        <v>0</v>
      </c>
      <c r="W47" s="776">
        <f t="shared" si="89"/>
        <v>292.1875</v>
      </c>
      <c r="X47" s="777" t="str">
        <f t="shared" si="90"/>
        <v>L</v>
      </c>
      <c r="Z47" s="315" t="b">
        <f t="shared" si="23"/>
        <v>1</v>
      </c>
      <c r="AA47" s="315" t="b">
        <f t="shared" si="24"/>
        <v>1</v>
      </c>
      <c r="AB47" s="315" t="b">
        <f t="shared" si="25"/>
        <v>1</v>
      </c>
      <c r="AC47" s="315" t="b">
        <f t="shared" si="26"/>
        <v>1</v>
      </c>
      <c r="AD47" s="315" t="b">
        <f t="shared" si="27"/>
        <v>1</v>
      </c>
      <c r="AE47" s="315" t="b">
        <f t="shared" si="28"/>
        <v>1</v>
      </c>
      <c r="AF47" s="315" t="b">
        <f t="shared" si="29"/>
        <v>1</v>
      </c>
      <c r="AG47" s="315" t="b">
        <f t="shared" si="30"/>
        <v>1</v>
      </c>
      <c r="AH47" s="315" t="b">
        <f t="shared" si="31"/>
        <v>1</v>
      </c>
      <c r="AI47" s="315" t="b">
        <f t="shared" si="32"/>
        <v>1</v>
      </c>
      <c r="AJ47" s="315" t="b">
        <f t="shared" si="33"/>
        <v>1</v>
      </c>
      <c r="AK47" s="315" t="b">
        <f t="shared" si="34"/>
        <v>1</v>
      </c>
      <c r="AL47" s="809" t="str">
        <f t="shared" si="35"/>
        <v/>
      </c>
      <c r="AM47" s="810" t="str">
        <f t="shared" si="36"/>
        <v/>
      </c>
      <c r="AN47" s="810" t="str">
        <f t="shared" si="37"/>
        <v/>
      </c>
      <c r="AO47" s="810" t="str">
        <f t="shared" si="38"/>
        <v/>
      </c>
      <c r="AP47" s="810" t="str">
        <f t="shared" si="39"/>
        <v/>
      </c>
      <c r="AQ47" s="810" t="str">
        <f t="shared" si="40"/>
        <v/>
      </c>
      <c r="AR47" s="810" t="str">
        <f t="shared" si="41"/>
        <v/>
      </c>
      <c r="AS47" s="810" t="str">
        <f t="shared" si="42"/>
        <v/>
      </c>
      <c r="AT47" s="810" t="str">
        <f t="shared" si="43"/>
        <v/>
      </c>
      <c r="AU47" s="810" t="str">
        <f t="shared" si="44"/>
        <v/>
      </c>
      <c r="AV47" s="810" t="str">
        <f t="shared" si="45"/>
        <v/>
      </c>
      <c r="AW47" s="814" t="str">
        <f t="shared" si="45"/>
        <v/>
      </c>
    </row>
    <row r="48" spans="1:49">
      <c r="A48" s="794" t="str">
        <f t="shared" si="46"/>
        <v>Ca 1,</v>
      </c>
      <c r="B48" s="314" t="s">
        <v>427</v>
      </c>
      <c r="C48" s="314" t="str">
        <f t="shared" si="69"/>
        <v>Muối axit Phosphoric  (TA)
磷酸鹽</v>
      </c>
      <c r="D48" s="314" t="str">
        <f t="shared" si="70"/>
        <v>CR-000E</v>
      </c>
      <c r="E48" s="314" t="str">
        <f t="shared" si="71"/>
        <v>Point</v>
      </c>
      <c r="F48" s="314" t="str">
        <f t="shared" si="72"/>
        <v>Tổng chua TA 全酸
40~60 (50)</v>
      </c>
      <c r="G48" s="783">
        <f t="shared" si="73"/>
        <v>0</v>
      </c>
      <c r="H48" s="783">
        <f t="shared" si="74"/>
        <v>0</v>
      </c>
      <c r="I48" s="788" t="str">
        <f t="shared" si="75"/>
        <v>kg</v>
      </c>
      <c r="J48" s="783">
        <f t="shared" si="76"/>
        <v>0</v>
      </c>
      <c r="K48" s="783">
        <f t="shared" si="77"/>
        <v>0</v>
      </c>
      <c r="L48" s="788" t="str">
        <f t="shared" si="78"/>
        <v>kg</v>
      </c>
      <c r="M48" s="783">
        <f t="shared" si="79"/>
        <v>0</v>
      </c>
      <c r="N48" s="783">
        <f t="shared" si="80"/>
        <v>0</v>
      </c>
      <c r="O48" s="788" t="str">
        <f t="shared" si="81"/>
        <v>kg</v>
      </c>
      <c r="P48" s="783">
        <f t="shared" si="82"/>
        <v>0</v>
      </c>
      <c r="Q48" s="783">
        <f t="shared" si="83"/>
        <v>0</v>
      </c>
      <c r="R48" s="788" t="str">
        <f t="shared" si="84"/>
        <v>kg</v>
      </c>
      <c r="S48" s="783">
        <f t="shared" si="85"/>
        <v>0</v>
      </c>
      <c r="T48" s="776">
        <f t="shared" si="86"/>
        <v>0</v>
      </c>
      <c r="U48" s="777" t="str">
        <f t="shared" si="87"/>
        <v>kg</v>
      </c>
      <c r="V48" s="783">
        <f t="shared" si="88"/>
        <v>0</v>
      </c>
      <c r="W48" s="776">
        <f t="shared" si="89"/>
        <v>0</v>
      </c>
      <c r="X48" s="777" t="str">
        <f t="shared" si="90"/>
        <v>kg</v>
      </c>
      <c r="Z48" s="315" t="b">
        <f t="shared" si="23"/>
        <v>1</v>
      </c>
      <c r="AA48" s="315" t="b">
        <f t="shared" si="24"/>
        <v>1</v>
      </c>
      <c r="AB48" s="315" t="b">
        <f t="shared" si="25"/>
        <v>1</v>
      </c>
      <c r="AC48" s="315" t="b">
        <f t="shared" si="26"/>
        <v>1</v>
      </c>
      <c r="AD48" s="315" t="b">
        <f t="shared" si="27"/>
        <v>1</v>
      </c>
      <c r="AE48" s="315" t="b">
        <f t="shared" si="28"/>
        <v>1</v>
      </c>
      <c r="AF48" s="315" t="b">
        <f t="shared" si="29"/>
        <v>1</v>
      </c>
      <c r="AG48" s="315" t="b">
        <f t="shared" si="30"/>
        <v>1</v>
      </c>
      <c r="AH48" s="315" t="b">
        <f t="shared" si="31"/>
        <v>1</v>
      </c>
      <c r="AI48" s="315" t="b">
        <f t="shared" si="32"/>
        <v>1</v>
      </c>
      <c r="AJ48" s="315" t="b">
        <f t="shared" si="33"/>
        <v>1</v>
      </c>
      <c r="AK48" s="315" t="b">
        <f t="shared" si="34"/>
        <v>1</v>
      </c>
      <c r="AL48" s="809" t="str">
        <f t="shared" si="35"/>
        <v/>
      </c>
      <c r="AM48" s="810" t="str">
        <f t="shared" si="36"/>
        <v/>
      </c>
      <c r="AN48" s="810" t="str">
        <f t="shared" si="37"/>
        <v/>
      </c>
      <c r="AO48" s="810" t="str">
        <f t="shared" si="38"/>
        <v/>
      </c>
      <c r="AP48" s="810" t="str">
        <f t="shared" si="39"/>
        <v/>
      </c>
      <c r="AQ48" s="810" t="str">
        <f t="shared" si="40"/>
        <v/>
      </c>
      <c r="AR48" s="810" t="str">
        <f t="shared" si="41"/>
        <v/>
      </c>
      <c r="AS48" s="810" t="str">
        <f t="shared" si="42"/>
        <v/>
      </c>
      <c r="AT48" s="810" t="str">
        <f t="shared" si="43"/>
        <v/>
      </c>
      <c r="AU48" s="810" t="str">
        <f t="shared" si="44"/>
        <v/>
      </c>
      <c r="AV48" s="810" t="str">
        <f t="shared" si="45"/>
        <v/>
      </c>
      <c r="AW48" s="814" t="str">
        <f t="shared" si="45"/>
        <v/>
      </c>
    </row>
    <row r="49" spans="1:49">
      <c r="A49" s="794" t="str">
        <f t="shared" si="46"/>
        <v>Ca 1,</v>
      </c>
      <c r="B49" s="314" t="s">
        <v>430</v>
      </c>
      <c r="C49" s="314" t="str">
        <f t="shared" si="69"/>
        <v>Muối axit Phosphoric  (tỷ lệ axit)
磷酸鹽</v>
      </c>
      <c r="D49" s="314" t="str">
        <f t="shared" si="70"/>
        <v>CR-000E</v>
      </c>
      <c r="E49" s="314" t="str">
        <f t="shared" si="71"/>
        <v>Point</v>
      </c>
      <c r="F49" s="314" t="str">
        <f t="shared" si="72"/>
        <v>tỷ lệ axit  酸比 
5.2~7.8 (6.5)</v>
      </c>
      <c r="G49" s="783">
        <f t="shared" si="73"/>
        <v>0</v>
      </c>
      <c r="H49" s="783">
        <f t="shared" si="74"/>
        <v>0</v>
      </c>
      <c r="I49" s="788" t="str">
        <f t="shared" si="75"/>
        <v>kg</v>
      </c>
      <c r="J49" s="783">
        <f t="shared" si="76"/>
        <v>0</v>
      </c>
      <c r="K49" s="783">
        <f t="shared" si="77"/>
        <v>0</v>
      </c>
      <c r="L49" s="788" t="str">
        <f t="shared" si="78"/>
        <v>kg</v>
      </c>
      <c r="M49" s="783">
        <f t="shared" si="79"/>
        <v>0</v>
      </c>
      <c r="N49" s="783">
        <f t="shared" si="80"/>
        <v>0</v>
      </c>
      <c r="O49" s="788" t="str">
        <f t="shared" si="81"/>
        <v>kg</v>
      </c>
      <c r="P49" s="783">
        <f t="shared" si="82"/>
        <v>0</v>
      </c>
      <c r="Q49" s="783">
        <f t="shared" si="83"/>
        <v>0</v>
      </c>
      <c r="R49" s="788" t="str">
        <f t="shared" si="84"/>
        <v>kg</v>
      </c>
      <c r="S49" s="783">
        <f t="shared" si="85"/>
        <v>0</v>
      </c>
      <c r="T49" s="776">
        <f t="shared" si="86"/>
        <v>0</v>
      </c>
      <c r="U49" s="777" t="str">
        <f t="shared" si="87"/>
        <v>kg</v>
      </c>
      <c r="V49" s="783">
        <f t="shared" si="88"/>
        <v>0</v>
      </c>
      <c r="W49" s="776">
        <f t="shared" si="89"/>
        <v>0</v>
      </c>
      <c r="X49" s="777" t="str">
        <f t="shared" si="90"/>
        <v>kg</v>
      </c>
      <c r="Z49" s="315" t="b">
        <f t="shared" si="23"/>
        <v>1</v>
      </c>
      <c r="AA49" s="315" t="b">
        <f t="shared" si="24"/>
        <v>1</v>
      </c>
      <c r="AB49" s="315" t="b">
        <f t="shared" si="25"/>
        <v>1</v>
      </c>
      <c r="AC49" s="315" t="b">
        <f t="shared" si="26"/>
        <v>1</v>
      </c>
      <c r="AD49" s="315" t="b">
        <f t="shared" si="27"/>
        <v>1</v>
      </c>
      <c r="AE49" s="315" t="b">
        <f t="shared" si="28"/>
        <v>1</v>
      </c>
      <c r="AF49" s="315" t="b">
        <f t="shared" si="29"/>
        <v>1</v>
      </c>
      <c r="AG49" s="315" t="b">
        <f t="shared" si="30"/>
        <v>1</v>
      </c>
      <c r="AH49" s="315" t="b">
        <f t="shared" si="31"/>
        <v>1</v>
      </c>
      <c r="AI49" s="315" t="b">
        <f t="shared" si="32"/>
        <v>1</v>
      </c>
      <c r="AJ49" s="315" t="b">
        <f t="shared" si="33"/>
        <v>1</v>
      </c>
      <c r="AK49" s="315" t="b">
        <f t="shared" si="34"/>
        <v>1</v>
      </c>
      <c r="AL49" s="809" t="str">
        <f t="shared" si="35"/>
        <v/>
      </c>
      <c r="AM49" s="810" t="str">
        <f t="shared" si="36"/>
        <v/>
      </c>
      <c r="AN49" s="810" t="str">
        <f t="shared" si="37"/>
        <v/>
      </c>
      <c r="AO49" s="810" t="str">
        <f t="shared" si="38"/>
        <v/>
      </c>
      <c r="AP49" s="810" t="str">
        <f t="shared" si="39"/>
        <v/>
      </c>
      <c r="AQ49" s="810" t="str">
        <f t="shared" si="40"/>
        <v/>
      </c>
      <c r="AR49" s="810" t="str">
        <f t="shared" si="41"/>
        <v/>
      </c>
      <c r="AS49" s="810" t="str">
        <f t="shared" si="42"/>
        <v/>
      </c>
      <c r="AT49" s="810" t="str">
        <f t="shared" si="43"/>
        <v/>
      </c>
      <c r="AU49" s="810" t="str">
        <f t="shared" si="44"/>
        <v/>
      </c>
      <c r="AV49" s="810" t="str">
        <f t="shared" si="45"/>
        <v/>
      </c>
      <c r="AW49" s="814" t="str">
        <f t="shared" si="45"/>
        <v/>
      </c>
    </row>
    <row r="50" spans="1:49">
      <c r="A50" s="794" t="str">
        <f t="shared" si="46"/>
        <v>Ca 1,</v>
      </c>
      <c r="B50" s="314" t="s">
        <v>431</v>
      </c>
      <c r="C50" s="314" t="str">
        <f t="shared" si="69"/>
        <v>Muối axit Phosphoric (Fe phân ly) 
磷酸鹽</v>
      </c>
      <c r="D50" s="314" t="str">
        <f t="shared" si="70"/>
        <v>CR-000E</v>
      </c>
      <c r="E50" s="314" t="str">
        <f t="shared" si="71"/>
        <v>Point</v>
      </c>
      <c r="F50" s="314" t="str">
        <f t="shared" si="72"/>
        <v xml:space="preserve">Fe phân ly &lt;0.4
 鐵離子&lt;0.4
</v>
      </c>
      <c r="G50" s="783">
        <f t="shared" si="73"/>
        <v>0</v>
      </c>
      <c r="H50" s="783">
        <f>IFERROR(VLOOKUP($B50,RLMLXD,11,0),"")</f>
        <v>0</v>
      </c>
      <c r="I50" s="788">
        <f t="shared" si="75"/>
        <v>0</v>
      </c>
      <c r="J50" s="783">
        <f t="shared" si="76"/>
        <v>0</v>
      </c>
      <c r="K50" s="783">
        <f t="shared" si="77"/>
        <v>0</v>
      </c>
      <c r="L50" s="788">
        <f t="shared" si="78"/>
        <v>0</v>
      </c>
      <c r="M50" s="783">
        <f t="shared" si="79"/>
        <v>0</v>
      </c>
      <c r="N50" s="783">
        <f t="shared" si="80"/>
        <v>0</v>
      </c>
      <c r="O50" s="788">
        <f t="shared" si="81"/>
        <v>0</v>
      </c>
      <c r="P50" s="783">
        <f t="shared" si="82"/>
        <v>0</v>
      </c>
      <c r="Q50" s="783">
        <f t="shared" si="83"/>
        <v>0</v>
      </c>
      <c r="R50" s="788">
        <f t="shared" si="84"/>
        <v>0</v>
      </c>
      <c r="S50" s="783">
        <f t="shared" si="85"/>
        <v>0</v>
      </c>
      <c r="T50" s="776">
        <f t="shared" si="86"/>
        <v>0</v>
      </c>
      <c r="U50" s="777">
        <f t="shared" si="87"/>
        <v>0</v>
      </c>
      <c r="V50" s="783">
        <f t="shared" si="88"/>
        <v>0</v>
      </c>
      <c r="W50" s="776">
        <f t="shared" si="89"/>
        <v>0</v>
      </c>
      <c r="X50" s="777">
        <f t="shared" si="90"/>
        <v>0</v>
      </c>
      <c r="Z50" s="315" t="b">
        <f t="shared" si="23"/>
        <v>1</v>
      </c>
      <c r="AA50" s="315" t="b">
        <f t="shared" si="24"/>
        <v>1</v>
      </c>
      <c r="AB50" s="315" t="b">
        <f t="shared" si="25"/>
        <v>1</v>
      </c>
      <c r="AC50" s="315" t="b">
        <f t="shared" si="26"/>
        <v>1</v>
      </c>
      <c r="AD50" s="315" t="b">
        <f t="shared" si="27"/>
        <v>1</v>
      </c>
      <c r="AE50" s="315" t="b">
        <f t="shared" si="28"/>
        <v>1</v>
      </c>
      <c r="AF50" s="315" t="b">
        <f t="shared" si="29"/>
        <v>1</v>
      </c>
      <c r="AG50" s="315" t="b">
        <f t="shared" si="30"/>
        <v>1</v>
      </c>
      <c r="AH50" s="315" t="b">
        <f t="shared" si="31"/>
        <v>1</v>
      </c>
      <c r="AI50" s="315" t="b">
        <f t="shared" si="32"/>
        <v>1</v>
      </c>
      <c r="AJ50" s="315" t="b">
        <f t="shared" si="33"/>
        <v>1</v>
      </c>
      <c r="AK50" s="315" t="b">
        <f t="shared" si="34"/>
        <v>1</v>
      </c>
      <c r="AL50" s="809" t="str">
        <f t="shared" si="35"/>
        <v/>
      </c>
      <c r="AM50" s="810" t="str">
        <f t="shared" si="36"/>
        <v/>
      </c>
      <c r="AN50" s="810" t="str">
        <f t="shared" si="37"/>
        <v/>
      </c>
      <c r="AO50" s="810" t="str">
        <f t="shared" si="38"/>
        <v/>
      </c>
      <c r="AP50" s="810" t="str">
        <f t="shared" si="39"/>
        <v/>
      </c>
      <c r="AQ50" s="810" t="str">
        <f t="shared" si="40"/>
        <v/>
      </c>
      <c r="AR50" s="810" t="str">
        <f t="shared" si="41"/>
        <v/>
      </c>
      <c r="AS50" s="810" t="str">
        <f t="shared" si="42"/>
        <v/>
      </c>
      <c r="AT50" s="810" t="str">
        <f t="shared" si="43"/>
        <v/>
      </c>
      <c r="AU50" s="810" t="str">
        <f t="shared" si="44"/>
        <v/>
      </c>
      <c r="AV50" s="810" t="str">
        <f t="shared" si="45"/>
        <v/>
      </c>
      <c r="AW50" s="814" t="str">
        <f t="shared" si="45"/>
        <v/>
      </c>
    </row>
    <row r="51" spans="1:49">
      <c r="A51" s="794" t="str">
        <f t="shared" si="46"/>
        <v>Ca 1,</v>
      </c>
      <c r="B51" s="314" t="s">
        <v>433</v>
      </c>
      <c r="C51" s="314" t="str">
        <f t="shared" si="69"/>
        <v>Muối axit Phosphoric  (TA)
磷酸鹽</v>
      </c>
      <c r="D51" s="314" t="str">
        <f t="shared" si="70"/>
        <v>CR-000E</v>
      </c>
      <c r="E51" s="314" t="str">
        <f t="shared" si="71"/>
        <v>Point</v>
      </c>
      <c r="F51" s="314" t="str">
        <f t="shared" si="72"/>
        <v>Tổng chua TA 全酸
40~60 (50)</v>
      </c>
      <c r="G51" s="783">
        <f t="shared" si="73"/>
        <v>0</v>
      </c>
      <c r="H51" s="783">
        <f t="shared" si="74"/>
        <v>0</v>
      </c>
      <c r="I51" s="788" t="str">
        <f t="shared" si="75"/>
        <v>kg</v>
      </c>
      <c r="J51" s="783">
        <f t="shared" si="76"/>
        <v>0</v>
      </c>
      <c r="K51" s="783">
        <f t="shared" si="77"/>
        <v>0</v>
      </c>
      <c r="L51" s="788" t="str">
        <f t="shared" si="78"/>
        <v>kg</v>
      </c>
      <c r="M51" s="783">
        <f t="shared" si="79"/>
        <v>0</v>
      </c>
      <c r="N51" s="783">
        <f t="shared" si="80"/>
        <v>0</v>
      </c>
      <c r="O51" s="788" t="str">
        <f t="shared" si="81"/>
        <v>kg</v>
      </c>
      <c r="P51" s="783">
        <f t="shared" si="82"/>
        <v>0</v>
      </c>
      <c r="Q51" s="783">
        <f t="shared" si="83"/>
        <v>0</v>
      </c>
      <c r="R51" s="788" t="str">
        <f t="shared" si="84"/>
        <v>kg</v>
      </c>
      <c r="S51" s="783">
        <f t="shared" si="85"/>
        <v>0</v>
      </c>
      <c r="T51" s="776">
        <f t="shared" si="86"/>
        <v>0</v>
      </c>
      <c r="U51" s="777" t="str">
        <f t="shared" si="87"/>
        <v>kg</v>
      </c>
      <c r="V51" s="783">
        <f t="shared" si="88"/>
        <v>0</v>
      </c>
      <c r="W51" s="776">
        <f t="shared" si="89"/>
        <v>0</v>
      </c>
      <c r="X51" s="777" t="str">
        <f t="shared" si="90"/>
        <v>kg</v>
      </c>
      <c r="Z51" s="315" t="b">
        <f t="shared" si="23"/>
        <v>1</v>
      </c>
      <c r="AA51" s="315" t="b">
        <f t="shared" si="24"/>
        <v>1</v>
      </c>
      <c r="AB51" s="315" t="b">
        <f t="shared" si="25"/>
        <v>1</v>
      </c>
      <c r="AC51" s="315" t="b">
        <f t="shared" si="26"/>
        <v>1</v>
      </c>
      <c r="AD51" s="315" t="b">
        <f t="shared" si="27"/>
        <v>1</v>
      </c>
      <c r="AE51" s="315" t="b">
        <f t="shared" si="28"/>
        <v>1</v>
      </c>
      <c r="AF51" s="315" t="b">
        <f t="shared" si="29"/>
        <v>1</v>
      </c>
      <c r="AG51" s="315" t="b">
        <f t="shared" si="30"/>
        <v>1</v>
      </c>
      <c r="AH51" s="315" t="b">
        <f t="shared" si="31"/>
        <v>1</v>
      </c>
      <c r="AI51" s="315" t="b">
        <f t="shared" si="32"/>
        <v>1</v>
      </c>
      <c r="AJ51" s="315" t="b">
        <f t="shared" si="33"/>
        <v>1</v>
      </c>
      <c r="AK51" s="315" t="b">
        <f t="shared" si="34"/>
        <v>1</v>
      </c>
      <c r="AL51" s="809" t="str">
        <f t="shared" si="35"/>
        <v/>
      </c>
      <c r="AM51" s="810" t="str">
        <f t="shared" si="36"/>
        <v/>
      </c>
      <c r="AN51" s="810" t="str">
        <f t="shared" si="37"/>
        <v/>
      </c>
      <c r="AO51" s="810" t="str">
        <f t="shared" si="38"/>
        <v/>
      </c>
      <c r="AP51" s="810" t="str">
        <f t="shared" si="39"/>
        <v/>
      </c>
      <c r="AQ51" s="810" t="str">
        <f t="shared" si="40"/>
        <v/>
      </c>
      <c r="AR51" s="810" t="str">
        <f t="shared" si="41"/>
        <v/>
      </c>
      <c r="AS51" s="810" t="str">
        <f t="shared" si="42"/>
        <v/>
      </c>
      <c r="AT51" s="810" t="str">
        <f t="shared" si="43"/>
        <v/>
      </c>
      <c r="AU51" s="810" t="str">
        <f t="shared" si="44"/>
        <v/>
      </c>
      <c r="AV51" s="810" t="str">
        <f t="shared" si="45"/>
        <v/>
      </c>
      <c r="AW51" s="814" t="str">
        <f t="shared" si="45"/>
        <v/>
      </c>
    </row>
    <row r="52" spans="1:49">
      <c r="A52" s="794" t="str">
        <f t="shared" si="46"/>
        <v>Ca 1,</v>
      </c>
      <c r="B52" s="314" t="s">
        <v>435</v>
      </c>
      <c r="C52" s="314" t="str">
        <f t="shared" si="69"/>
        <v>Muối axit Phosphoric  (tỷ lệ axit)
磷酸鹽</v>
      </c>
      <c r="D52" s="314" t="str">
        <f t="shared" si="70"/>
        <v>CR-000E</v>
      </c>
      <c r="E52" s="314" t="str">
        <f t="shared" si="71"/>
        <v>Point</v>
      </c>
      <c r="F52" s="314" t="str">
        <f t="shared" si="72"/>
        <v>tỷ lệ axit  酸比 
5.2~7.8 (6.5)</v>
      </c>
      <c r="G52" s="783">
        <f t="shared" si="73"/>
        <v>0</v>
      </c>
      <c r="H52" s="783">
        <f t="shared" si="74"/>
        <v>0</v>
      </c>
      <c r="I52" s="788" t="str">
        <f t="shared" si="75"/>
        <v>kg</v>
      </c>
      <c r="J52" s="783">
        <f t="shared" si="76"/>
        <v>0</v>
      </c>
      <c r="K52" s="783">
        <f t="shared" si="77"/>
        <v>0</v>
      </c>
      <c r="L52" s="788" t="str">
        <f t="shared" si="78"/>
        <v>kg</v>
      </c>
      <c r="M52" s="783">
        <f t="shared" si="79"/>
        <v>0</v>
      </c>
      <c r="N52" s="783">
        <f t="shared" si="80"/>
        <v>0</v>
      </c>
      <c r="O52" s="788" t="str">
        <f t="shared" si="81"/>
        <v>kg</v>
      </c>
      <c r="P52" s="783">
        <f t="shared" si="82"/>
        <v>0</v>
      </c>
      <c r="Q52" s="783">
        <f t="shared" si="83"/>
        <v>0</v>
      </c>
      <c r="R52" s="788" t="str">
        <f t="shared" si="84"/>
        <v>kg</v>
      </c>
      <c r="S52" s="783">
        <f t="shared" si="85"/>
        <v>0</v>
      </c>
      <c r="T52" s="776">
        <f t="shared" si="86"/>
        <v>0</v>
      </c>
      <c r="U52" s="777" t="str">
        <f t="shared" si="87"/>
        <v>kg</v>
      </c>
      <c r="V52" s="783">
        <f t="shared" si="88"/>
        <v>0</v>
      </c>
      <c r="W52" s="776">
        <f t="shared" si="89"/>
        <v>0</v>
      </c>
      <c r="X52" s="777" t="str">
        <f t="shared" si="90"/>
        <v>kg</v>
      </c>
      <c r="Z52" s="315" t="b">
        <f t="shared" si="23"/>
        <v>1</v>
      </c>
      <c r="AA52" s="315" t="b">
        <f t="shared" si="24"/>
        <v>1</v>
      </c>
      <c r="AB52" s="315" t="b">
        <f t="shared" si="25"/>
        <v>1</v>
      </c>
      <c r="AC52" s="315" t="b">
        <f t="shared" si="26"/>
        <v>1</v>
      </c>
      <c r="AD52" s="315" t="b">
        <f t="shared" si="27"/>
        <v>1</v>
      </c>
      <c r="AE52" s="315" t="b">
        <f t="shared" si="28"/>
        <v>1</v>
      </c>
      <c r="AF52" s="315" t="b">
        <f t="shared" si="29"/>
        <v>1</v>
      </c>
      <c r="AG52" s="315" t="b">
        <f t="shared" si="30"/>
        <v>1</v>
      </c>
      <c r="AH52" s="315" t="b">
        <f t="shared" si="31"/>
        <v>1</v>
      </c>
      <c r="AI52" s="315" t="b">
        <f t="shared" si="32"/>
        <v>1</v>
      </c>
      <c r="AJ52" s="315" t="b">
        <f t="shared" si="33"/>
        <v>1</v>
      </c>
      <c r="AK52" s="315" t="b">
        <f t="shared" si="34"/>
        <v>1</v>
      </c>
      <c r="AL52" s="809" t="str">
        <f t="shared" si="35"/>
        <v/>
      </c>
      <c r="AM52" s="810" t="str">
        <f t="shared" si="36"/>
        <v/>
      </c>
      <c r="AN52" s="810" t="str">
        <f t="shared" si="37"/>
        <v/>
      </c>
      <c r="AO52" s="810" t="str">
        <f t="shared" si="38"/>
        <v/>
      </c>
      <c r="AP52" s="810" t="str">
        <f t="shared" si="39"/>
        <v/>
      </c>
      <c r="AQ52" s="810" t="str">
        <f t="shared" si="40"/>
        <v/>
      </c>
      <c r="AR52" s="810" t="str">
        <f t="shared" si="41"/>
        <v/>
      </c>
      <c r="AS52" s="810" t="str">
        <f t="shared" si="42"/>
        <v/>
      </c>
      <c r="AT52" s="810" t="str">
        <f t="shared" si="43"/>
        <v/>
      </c>
      <c r="AU52" s="810" t="str">
        <f t="shared" si="44"/>
        <v/>
      </c>
      <c r="AV52" s="810" t="str">
        <f t="shared" si="45"/>
        <v/>
      </c>
      <c r="AW52" s="814" t="str">
        <f t="shared" si="45"/>
        <v/>
      </c>
    </row>
    <row r="53" spans="1:49">
      <c r="A53" s="794" t="str">
        <f t="shared" si="46"/>
        <v>Ca 1,</v>
      </c>
      <c r="B53" s="314" t="s">
        <v>436</v>
      </c>
      <c r="C53" s="314" t="str">
        <f t="shared" si="69"/>
        <v>Muối axit Phosphoric (Fe phân ly) 
磷酸鹽</v>
      </c>
      <c r="D53" s="314" t="str">
        <f t="shared" si="70"/>
        <v>CR-000E</v>
      </c>
      <c r="E53" s="314" t="str">
        <f t="shared" si="71"/>
        <v>Point</v>
      </c>
      <c r="F53" s="314" t="str">
        <f t="shared" si="72"/>
        <v xml:space="preserve">Fe phân ly &lt;0.4
 鐵離子&lt;0.4
</v>
      </c>
      <c r="G53" s="783">
        <f t="shared" si="73"/>
        <v>0</v>
      </c>
      <c r="H53" s="783">
        <f t="shared" si="74"/>
        <v>0</v>
      </c>
      <c r="I53" s="788">
        <f t="shared" si="75"/>
        <v>0</v>
      </c>
      <c r="J53" s="783">
        <f t="shared" si="76"/>
        <v>0</v>
      </c>
      <c r="K53" s="783">
        <f t="shared" si="77"/>
        <v>0</v>
      </c>
      <c r="L53" s="788">
        <f t="shared" si="78"/>
        <v>0</v>
      </c>
      <c r="M53" s="783">
        <f t="shared" si="79"/>
        <v>0</v>
      </c>
      <c r="N53" s="783">
        <f t="shared" si="80"/>
        <v>0</v>
      </c>
      <c r="O53" s="788">
        <f t="shared" si="81"/>
        <v>0</v>
      </c>
      <c r="P53" s="783">
        <f t="shared" si="82"/>
        <v>0</v>
      </c>
      <c r="Q53" s="783">
        <f t="shared" si="83"/>
        <v>0</v>
      </c>
      <c r="R53" s="788">
        <f t="shared" si="84"/>
        <v>0</v>
      </c>
      <c r="S53" s="783">
        <f t="shared" si="85"/>
        <v>0</v>
      </c>
      <c r="T53" s="776">
        <f t="shared" si="86"/>
        <v>0</v>
      </c>
      <c r="U53" s="777">
        <f t="shared" si="87"/>
        <v>0</v>
      </c>
      <c r="V53" s="783">
        <f t="shared" si="88"/>
        <v>0</v>
      </c>
      <c r="W53" s="776">
        <f t="shared" si="89"/>
        <v>0</v>
      </c>
      <c r="X53" s="777">
        <f t="shared" si="90"/>
        <v>0</v>
      </c>
      <c r="Z53" s="315" t="b">
        <f t="shared" si="23"/>
        <v>1</v>
      </c>
      <c r="AA53" s="315" t="b">
        <f t="shared" si="24"/>
        <v>1</v>
      </c>
      <c r="AB53" s="315" t="b">
        <f t="shared" si="25"/>
        <v>1</v>
      </c>
      <c r="AC53" s="315" t="b">
        <f t="shared" si="26"/>
        <v>1</v>
      </c>
      <c r="AD53" s="315" t="b">
        <f t="shared" si="27"/>
        <v>1</v>
      </c>
      <c r="AE53" s="315" t="b">
        <f t="shared" si="28"/>
        <v>1</v>
      </c>
      <c r="AF53" s="315" t="b">
        <f t="shared" si="29"/>
        <v>1</v>
      </c>
      <c r="AG53" s="315" t="b">
        <f t="shared" si="30"/>
        <v>1</v>
      </c>
      <c r="AH53" s="315" t="b">
        <f t="shared" si="31"/>
        <v>1</v>
      </c>
      <c r="AI53" s="315" t="b">
        <f t="shared" si="32"/>
        <v>1</v>
      </c>
      <c r="AJ53" s="315" t="b">
        <f t="shared" si="33"/>
        <v>1</v>
      </c>
      <c r="AK53" s="315" t="b">
        <f t="shared" si="34"/>
        <v>1</v>
      </c>
      <c r="AL53" s="809" t="str">
        <f t="shared" si="35"/>
        <v/>
      </c>
      <c r="AM53" s="810" t="str">
        <f t="shared" si="36"/>
        <v/>
      </c>
      <c r="AN53" s="810" t="str">
        <f t="shared" si="37"/>
        <v/>
      </c>
      <c r="AO53" s="810" t="str">
        <f t="shared" si="38"/>
        <v/>
      </c>
      <c r="AP53" s="810" t="str">
        <f t="shared" si="39"/>
        <v/>
      </c>
      <c r="AQ53" s="810" t="str">
        <f t="shared" si="40"/>
        <v/>
      </c>
      <c r="AR53" s="810" t="str">
        <f t="shared" si="41"/>
        <v/>
      </c>
      <c r="AS53" s="810" t="str">
        <f t="shared" si="42"/>
        <v/>
      </c>
      <c r="AT53" s="810" t="str">
        <f t="shared" si="43"/>
        <v/>
      </c>
      <c r="AU53" s="810" t="str">
        <f t="shared" si="44"/>
        <v/>
      </c>
      <c r="AV53" s="810" t="str">
        <f t="shared" si="45"/>
        <v/>
      </c>
      <c r="AW53" s="814" t="str">
        <f t="shared" si="45"/>
        <v/>
      </c>
    </row>
    <row r="54" spans="1:49">
      <c r="A54" s="794" t="str">
        <f t="shared" si="46"/>
        <v>Ca 1,</v>
      </c>
      <c r="B54" s="314" t="s">
        <v>437</v>
      </c>
      <c r="C54" s="314" t="str">
        <f t="shared" si="69"/>
        <v>Xà bông bôi trơn
潤滑皂</v>
      </c>
      <c r="D54" s="314" t="str">
        <f t="shared" si="70"/>
        <v>CR-000E</v>
      </c>
      <c r="E54" s="314" t="str">
        <f t="shared" si="71"/>
        <v>Point</v>
      </c>
      <c r="F54" s="314" t="str">
        <f t="shared" si="72"/>
        <v>0.8~1.2</v>
      </c>
      <c r="G54" s="783">
        <f t="shared" si="73"/>
        <v>0</v>
      </c>
      <c r="H54" s="783">
        <f t="shared" si="74"/>
        <v>0</v>
      </c>
      <c r="I54" s="788" t="str">
        <f t="shared" si="75"/>
        <v>kg</v>
      </c>
      <c r="J54" s="783">
        <f t="shared" si="76"/>
        <v>0</v>
      </c>
      <c r="K54" s="783">
        <f t="shared" si="77"/>
        <v>0</v>
      </c>
      <c r="L54" s="788" t="str">
        <f t="shared" si="78"/>
        <v>kg</v>
      </c>
      <c r="M54" s="783">
        <f t="shared" si="79"/>
        <v>0</v>
      </c>
      <c r="N54" s="783">
        <f t="shared" si="80"/>
        <v>0</v>
      </c>
      <c r="O54" s="788" t="str">
        <f t="shared" si="81"/>
        <v>kg</v>
      </c>
      <c r="P54" s="783">
        <f t="shared" si="82"/>
        <v>0</v>
      </c>
      <c r="Q54" s="783">
        <f t="shared" si="83"/>
        <v>0</v>
      </c>
      <c r="R54" s="788" t="str">
        <f t="shared" si="84"/>
        <v>kg</v>
      </c>
      <c r="S54" s="783">
        <f t="shared" si="85"/>
        <v>0</v>
      </c>
      <c r="T54" s="776">
        <f t="shared" si="86"/>
        <v>0</v>
      </c>
      <c r="U54" s="777" t="str">
        <f t="shared" si="87"/>
        <v>kg</v>
      </c>
      <c r="V54" s="783">
        <f t="shared" si="88"/>
        <v>0</v>
      </c>
      <c r="W54" s="776">
        <f t="shared" si="89"/>
        <v>0</v>
      </c>
      <c r="X54" s="777" t="str">
        <f t="shared" si="90"/>
        <v>kg</v>
      </c>
      <c r="Z54" s="315" t="b">
        <f t="shared" si="23"/>
        <v>1</v>
      </c>
      <c r="AA54" s="315" t="b">
        <f t="shared" si="24"/>
        <v>1</v>
      </c>
      <c r="AB54" s="315" t="b">
        <f t="shared" si="25"/>
        <v>1</v>
      </c>
      <c r="AC54" s="315" t="b">
        <f t="shared" si="26"/>
        <v>1</v>
      </c>
      <c r="AD54" s="315" t="b">
        <f t="shared" si="27"/>
        <v>1</v>
      </c>
      <c r="AE54" s="315" t="b">
        <f t="shared" si="28"/>
        <v>1</v>
      </c>
      <c r="AF54" s="315" t="b">
        <f t="shared" si="29"/>
        <v>1</v>
      </c>
      <c r="AG54" s="315" t="b">
        <f t="shared" si="30"/>
        <v>1</v>
      </c>
      <c r="AH54" s="315" t="b">
        <f t="shared" si="31"/>
        <v>1</v>
      </c>
      <c r="AI54" s="315" t="b">
        <f t="shared" si="32"/>
        <v>1</v>
      </c>
      <c r="AJ54" s="315" t="b">
        <f t="shared" si="33"/>
        <v>1</v>
      </c>
      <c r="AK54" s="315" t="b">
        <f t="shared" si="34"/>
        <v>1</v>
      </c>
      <c r="AL54" s="809" t="str">
        <f t="shared" si="35"/>
        <v/>
      </c>
      <c r="AM54" s="810" t="str">
        <f t="shared" si="36"/>
        <v/>
      </c>
      <c r="AN54" s="810" t="str">
        <f t="shared" si="37"/>
        <v/>
      </c>
      <c r="AO54" s="810" t="str">
        <f t="shared" si="38"/>
        <v/>
      </c>
      <c r="AP54" s="810" t="str">
        <f t="shared" si="39"/>
        <v/>
      </c>
      <c r="AQ54" s="810" t="str">
        <f t="shared" si="40"/>
        <v/>
      </c>
      <c r="AR54" s="810" t="str">
        <f t="shared" si="41"/>
        <v/>
      </c>
      <c r="AS54" s="810" t="str">
        <f t="shared" si="42"/>
        <v/>
      </c>
      <c r="AT54" s="810" t="str">
        <f t="shared" si="43"/>
        <v/>
      </c>
      <c r="AU54" s="810" t="str">
        <f t="shared" si="44"/>
        <v/>
      </c>
      <c r="AV54" s="810" t="str">
        <f t="shared" si="45"/>
        <v/>
      </c>
      <c r="AW54" s="814" t="str">
        <f t="shared" si="45"/>
        <v/>
      </c>
    </row>
    <row r="55" spans="1:49">
      <c r="A55" s="794" t="str">
        <f t="shared" si="46"/>
        <v>Ca 1,</v>
      </c>
      <c r="B55" s="314" t="s">
        <v>440</v>
      </c>
      <c r="C55" s="314" t="str">
        <f t="shared" si="69"/>
        <v>pH</v>
      </c>
      <c r="D55" s="314" t="str">
        <f t="shared" si="70"/>
        <v>CR-000E</v>
      </c>
      <c r="E55" s="314" t="str">
        <f t="shared" si="71"/>
        <v>pH</v>
      </c>
      <c r="F55" s="314" t="str">
        <f t="shared" si="72"/>
        <v>8~10</v>
      </c>
      <c r="G55" s="783">
        <f t="shared" si="73"/>
        <v>0</v>
      </c>
      <c r="H55" s="783">
        <f t="shared" si="74"/>
        <v>0</v>
      </c>
      <c r="I55" s="788">
        <f t="shared" si="75"/>
        <v>0</v>
      </c>
      <c r="J55" s="783">
        <f t="shared" si="76"/>
        <v>0</v>
      </c>
      <c r="K55" s="783">
        <f t="shared" si="77"/>
        <v>0</v>
      </c>
      <c r="L55" s="788">
        <f t="shared" si="78"/>
        <v>0</v>
      </c>
      <c r="M55" s="783">
        <f t="shared" si="79"/>
        <v>0</v>
      </c>
      <c r="N55" s="783">
        <f t="shared" si="80"/>
        <v>0</v>
      </c>
      <c r="O55" s="788">
        <f t="shared" si="81"/>
        <v>0</v>
      </c>
      <c r="P55" s="783">
        <f t="shared" si="82"/>
        <v>0</v>
      </c>
      <c r="Q55" s="783">
        <f t="shared" si="83"/>
        <v>0</v>
      </c>
      <c r="R55" s="788">
        <f t="shared" si="84"/>
        <v>0</v>
      </c>
      <c r="S55" s="783">
        <f t="shared" si="85"/>
        <v>0</v>
      </c>
      <c r="T55" s="776">
        <f t="shared" si="86"/>
        <v>0</v>
      </c>
      <c r="U55" s="777">
        <f t="shared" si="87"/>
        <v>0</v>
      </c>
      <c r="V55" s="783">
        <f t="shared" si="88"/>
        <v>0</v>
      </c>
      <c r="W55" s="776">
        <f t="shared" si="89"/>
        <v>0</v>
      </c>
      <c r="X55" s="777">
        <f t="shared" si="90"/>
        <v>0</v>
      </c>
      <c r="Z55" s="315" t="b">
        <f t="shared" si="23"/>
        <v>1</v>
      </c>
      <c r="AA55" s="315" t="b">
        <f t="shared" si="24"/>
        <v>1</v>
      </c>
      <c r="AB55" s="315" t="b">
        <f t="shared" si="25"/>
        <v>1</v>
      </c>
      <c r="AC55" s="315" t="b">
        <f t="shared" si="26"/>
        <v>1</v>
      </c>
      <c r="AD55" s="315" t="b">
        <f t="shared" si="27"/>
        <v>1</v>
      </c>
      <c r="AE55" s="315" t="b">
        <f t="shared" si="28"/>
        <v>1</v>
      </c>
      <c r="AF55" s="315" t="b">
        <f t="shared" si="29"/>
        <v>1</v>
      </c>
      <c r="AG55" s="315" t="b">
        <f t="shared" si="30"/>
        <v>1</v>
      </c>
      <c r="AH55" s="315" t="b">
        <f t="shared" si="31"/>
        <v>1</v>
      </c>
      <c r="AI55" s="315" t="b">
        <f t="shared" si="32"/>
        <v>1</v>
      </c>
      <c r="AJ55" s="315" t="b">
        <f t="shared" si="33"/>
        <v>1</v>
      </c>
      <c r="AK55" s="315" t="b">
        <f t="shared" si="34"/>
        <v>1</v>
      </c>
      <c r="AL55" s="809" t="str">
        <f t="shared" si="35"/>
        <v/>
      </c>
      <c r="AM55" s="810" t="str">
        <f t="shared" si="36"/>
        <v/>
      </c>
      <c r="AN55" s="810" t="str">
        <f t="shared" si="37"/>
        <v/>
      </c>
      <c r="AO55" s="810" t="str">
        <f t="shared" si="38"/>
        <v/>
      </c>
      <c r="AP55" s="810" t="str">
        <f t="shared" si="39"/>
        <v/>
      </c>
      <c r="AQ55" s="810" t="str">
        <f t="shared" si="40"/>
        <v/>
      </c>
      <c r="AR55" s="810" t="str">
        <f t="shared" si="41"/>
        <v/>
      </c>
      <c r="AS55" s="810" t="str">
        <f t="shared" si="42"/>
        <v/>
      </c>
      <c r="AT55" s="810" t="str">
        <f t="shared" si="43"/>
        <v/>
      </c>
      <c r="AU55" s="810" t="str">
        <f t="shared" si="44"/>
        <v/>
      </c>
      <c r="AV55" s="810" t="str">
        <f t="shared" si="45"/>
        <v/>
      </c>
      <c r="AW55" s="814" t="str">
        <f t="shared" si="45"/>
        <v/>
      </c>
    </row>
    <row r="56" spans="1:49">
      <c r="A56" s="794" t="str">
        <f t="shared" si="46"/>
        <v>Ca 1,</v>
      </c>
      <c r="B56" s="314" t="s">
        <v>918</v>
      </c>
      <c r="C56" s="314" t="str">
        <f t="shared" si="69"/>
        <v>Khử dầu
脫脂</v>
      </c>
      <c r="D56" s="314" t="str">
        <f t="shared" si="70"/>
        <v>CR-000C</v>
      </c>
      <c r="E56" s="314" t="str">
        <f t="shared" si="71"/>
        <v>Point</v>
      </c>
      <c r="F56" s="314" t="str">
        <f t="shared" si="72"/>
        <v>30 – 50 (40)</v>
      </c>
      <c r="G56" s="783">
        <f t="shared" si="73"/>
        <v>41</v>
      </c>
      <c r="H56" s="783">
        <f t="shared" si="74"/>
        <v>0</v>
      </c>
      <c r="I56" s="788" t="str">
        <f t="shared" si="75"/>
        <v>kg</v>
      </c>
      <c r="J56" s="783">
        <f t="shared" si="76"/>
        <v>40</v>
      </c>
      <c r="K56" s="783">
        <f t="shared" si="77"/>
        <v>0</v>
      </c>
      <c r="L56" s="788" t="str">
        <f t="shared" si="78"/>
        <v>kg</v>
      </c>
      <c r="M56" s="783">
        <f t="shared" si="79"/>
        <v>38</v>
      </c>
      <c r="N56" s="783">
        <f t="shared" si="80"/>
        <v>4.66</v>
      </c>
      <c r="O56" s="788" t="str">
        <f t="shared" si="81"/>
        <v>kg</v>
      </c>
      <c r="P56" s="783">
        <f t="shared" si="82"/>
        <v>40</v>
      </c>
      <c r="Q56" s="783">
        <f t="shared" si="83"/>
        <v>0</v>
      </c>
      <c r="R56" s="788" t="str">
        <f t="shared" si="84"/>
        <v>kg</v>
      </c>
      <c r="S56" s="783">
        <f t="shared" si="85"/>
        <v>54</v>
      </c>
      <c r="T56" s="776">
        <f t="shared" si="86"/>
        <v>0</v>
      </c>
      <c r="U56" s="777" t="str">
        <f t="shared" si="87"/>
        <v>kg</v>
      </c>
      <c r="V56" s="783">
        <f t="shared" si="88"/>
        <v>38</v>
      </c>
      <c r="W56" s="776">
        <f t="shared" si="89"/>
        <v>4.66</v>
      </c>
      <c r="X56" s="777" t="str">
        <f t="shared" si="90"/>
        <v>kg</v>
      </c>
      <c r="Z56" s="315" t="b">
        <f t="shared" si="23"/>
        <v>1</v>
      </c>
      <c r="AA56" s="315" t="b">
        <f t="shared" si="24"/>
        <v>1</v>
      </c>
      <c r="AB56" s="315" t="b">
        <f t="shared" si="25"/>
        <v>1</v>
      </c>
      <c r="AC56" s="315" t="b">
        <f t="shared" si="26"/>
        <v>1</v>
      </c>
      <c r="AD56" s="315" t="b">
        <f t="shared" si="27"/>
        <v>1</v>
      </c>
      <c r="AE56" s="315" t="b">
        <f t="shared" si="28"/>
        <v>1</v>
      </c>
      <c r="AF56" s="315" t="b">
        <f t="shared" si="29"/>
        <v>1</v>
      </c>
      <c r="AG56" s="315" t="b">
        <f t="shared" si="30"/>
        <v>1</v>
      </c>
      <c r="AH56" s="315" t="b">
        <f t="shared" si="31"/>
        <v>1</v>
      </c>
      <c r="AI56" s="315" t="b">
        <f t="shared" si="32"/>
        <v>1</v>
      </c>
      <c r="AJ56" s="315" t="b">
        <f t="shared" si="33"/>
        <v>1</v>
      </c>
      <c r="AK56" s="315" t="b">
        <f t="shared" si="34"/>
        <v>1</v>
      </c>
      <c r="AL56" s="809" t="str">
        <f t="shared" si="35"/>
        <v/>
      </c>
      <c r="AM56" s="810" t="str">
        <f t="shared" si="36"/>
        <v/>
      </c>
      <c r="AN56" s="810" t="str">
        <f t="shared" si="37"/>
        <v/>
      </c>
      <c r="AO56" s="810" t="str">
        <f t="shared" si="38"/>
        <v/>
      </c>
      <c r="AP56" s="810" t="str">
        <f t="shared" si="39"/>
        <v/>
      </c>
      <c r="AQ56" s="810" t="str">
        <f t="shared" si="40"/>
        <v/>
      </c>
      <c r="AR56" s="810" t="str">
        <f t="shared" si="41"/>
        <v/>
      </c>
      <c r="AS56" s="810" t="str">
        <f t="shared" si="42"/>
        <v/>
      </c>
      <c r="AT56" s="810" t="str">
        <f t="shared" si="43"/>
        <v/>
      </c>
      <c r="AU56" s="810" t="str">
        <f t="shared" si="44"/>
        <v/>
      </c>
      <c r="AV56" s="810" t="str">
        <f t="shared" si="45"/>
        <v/>
      </c>
      <c r="AW56" s="814" t="str">
        <f t="shared" si="45"/>
        <v/>
      </c>
    </row>
    <row r="57" spans="1:49">
      <c r="A57" s="794" t="str">
        <f t="shared" si="46"/>
        <v>Ca 1,</v>
      </c>
      <c r="B57" s="314" t="s">
        <v>919</v>
      </c>
      <c r="C57" s="314" t="str">
        <f t="shared" si="69"/>
        <v>Rua acid  鹽酸洗槽</v>
      </c>
      <c r="D57" s="314" t="str">
        <f t="shared" si="70"/>
        <v>CR-000C</v>
      </c>
      <c r="E57" s="314" t="str">
        <f t="shared" si="71"/>
        <v>%</v>
      </c>
      <c r="F57" s="314" t="str">
        <f t="shared" si="72"/>
        <v>10~15%  (12.5%)</v>
      </c>
      <c r="G57" s="783">
        <f t="shared" si="73"/>
        <v>10.584999999999999</v>
      </c>
      <c r="H57" s="783">
        <f t="shared" si="74"/>
        <v>155.89296875000008</v>
      </c>
      <c r="I57" s="788" t="str">
        <f t="shared" si="75"/>
        <v>L</v>
      </c>
      <c r="J57" s="783">
        <f t="shared" si="76"/>
        <v>11.315000000000001</v>
      </c>
      <c r="K57" s="783">
        <f t="shared" si="77"/>
        <v>96.466406249999892</v>
      </c>
      <c r="L57" s="788" t="str">
        <f t="shared" si="78"/>
        <v>L</v>
      </c>
      <c r="M57" s="783">
        <f t="shared" si="79"/>
        <v>9.8550000000000004</v>
      </c>
      <c r="N57" s="783">
        <f t="shared" si="80"/>
        <v>215.31953124999995</v>
      </c>
      <c r="O57" s="788" t="str">
        <f t="shared" si="81"/>
        <v>L</v>
      </c>
      <c r="P57" s="783">
        <f t="shared" si="82"/>
        <v>10.584999999999999</v>
      </c>
      <c r="Q57" s="783">
        <f t="shared" si="83"/>
        <v>155.89296875000008</v>
      </c>
      <c r="R57" s="788" t="str">
        <f t="shared" si="84"/>
        <v>L</v>
      </c>
      <c r="S57" s="783">
        <f t="shared" si="85"/>
        <v>9.49</v>
      </c>
      <c r="T57" s="776">
        <f t="shared" si="86"/>
        <v>245.03281249999998</v>
      </c>
      <c r="U57" s="777" t="str">
        <f t="shared" si="87"/>
        <v>L</v>
      </c>
      <c r="V57" s="783">
        <f t="shared" si="88"/>
        <v>8.76</v>
      </c>
      <c r="W57" s="776">
        <f t="shared" si="89"/>
        <v>304.45937500000002</v>
      </c>
      <c r="X57" s="777" t="str">
        <f t="shared" si="90"/>
        <v>L</v>
      </c>
      <c r="Z57" s="315" t="b">
        <f t="shared" si="23"/>
        <v>1</v>
      </c>
      <c r="AA57" s="315" t="b">
        <f t="shared" si="24"/>
        <v>1</v>
      </c>
      <c r="AB57" s="315" t="b">
        <f t="shared" si="25"/>
        <v>1</v>
      </c>
      <c r="AC57" s="315" t="b">
        <f t="shared" si="26"/>
        <v>1</v>
      </c>
      <c r="AD57" s="315" t="b">
        <f t="shared" si="27"/>
        <v>1</v>
      </c>
      <c r="AE57" s="315" t="b">
        <f t="shared" si="28"/>
        <v>1</v>
      </c>
      <c r="AF57" s="315" t="b">
        <f t="shared" si="29"/>
        <v>1</v>
      </c>
      <c r="AG57" s="315" t="b">
        <f t="shared" si="30"/>
        <v>1</v>
      </c>
      <c r="AH57" s="315" t="b">
        <f t="shared" si="31"/>
        <v>1</v>
      </c>
      <c r="AI57" s="315" t="b">
        <f t="shared" si="32"/>
        <v>1</v>
      </c>
      <c r="AJ57" s="315" t="b">
        <f t="shared" si="33"/>
        <v>1</v>
      </c>
      <c r="AK57" s="315" t="b">
        <f t="shared" si="34"/>
        <v>1</v>
      </c>
      <c r="AL57" s="809" t="str">
        <f t="shared" si="35"/>
        <v/>
      </c>
      <c r="AM57" s="810" t="str">
        <f t="shared" si="36"/>
        <v/>
      </c>
      <c r="AN57" s="810" t="str">
        <f t="shared" si="37"/>
        <v/>
      </c>
      <c r="AO57" s="810" t="str">
        <f t="shared" si="38"/>
        <v/>
      </c>
      <c r="AP57" s="810" t="str">
        <f t="shared" si="39"/>
        <v/>
      </c>
      <c r="AQ57" s="810" t="str">
        <f t="shared" si="40"/>
        <v/>
      </c>
      <c r="AR57" s="810" t="str">
        <f t="shared" si="41"/>
        <v/>
      </c>
      <c r="AS57" s="810" t="str">
        <f t="shared" si="42"/>
        <v/>
      </c>
      <c r="AT57" s="810" t="str">
        <f t="shared" si="43"/>
        <v/>
      </c>
      <c r="AU57" s="810" t="str">
        <f t="shared" si="44"/>
        <v/>
      </c>
      <c r="AV57" s="810" t="str">
        <f t="shared" si="45"/>
        <v/>
      </c>
      <c r="AW57" s="814" t="str">
        <f t="shared" si="45"/>
        <v/>
      </c>
    </row>
    <row r="58" spans="1:49">
      <c r="A58" s="794" t="str">
        <f t="shared" si="46"/>
        <v>Ca 1,</v>
      </c>
      <c r="B58" s="314" t="s">
        <v>923</v>
      </c>
      <c r="C58" s="314" t="str">
        <f t="shared" si="69"/>
        <v>Muối axit Phosphoric  (TA)
磷酸鹽</v>
      </c>
      <c r="D58" s="314" t="str">
        <f t="shared" si="70"/>
        <v>CR-000C</v>
      </c>
      <c r="E58" s="314" t="str">
        <f t="shared" si="71"/>
        <v>Point</v>
      </c>
      <c r="F58" s="314" t="str">
        <f t="shared" si="72"/>
        <v>Tổng chua TA 全酸
40~60 (50)</v>
      </c>
      <c r="G58" s="783">
        <f t="shared" si="73"/>
        <v>42.5</v>
      </c>
      <c r="H58" s="783">
        <f t="shared" si="74"/>
        <v>37.012500000000003</v>
      </c>
      <c r="I58" s="788" t="str">
        <f t="shared" si="75"/>
        <v>kg</v>
      </c>
      <c r="J58" s="783">
        <f t="shared" si="76"/>
        <v>50</v>
      </c>
      <c r="K58" s="783">
        <f t="shared" si="77"/>
        <v>0</v>
      </c>
      <c r="L58" s="788" t="str">
        <f t="shared" si="78"/>
        <v>kg</v>
      </c>
      <c r="M58" s="783">
        <f t="shared" si="79"/>
        <v>43</v>
      </c>
      <c r="N58" s="783">
        <f t="shared" si="80"/>
        <v>34.545000000000002</v>
      </c>
      <c r="O58" s="788" t="str">
        <f t="shared" si="81"/>
        <v>kg</v>
      </c>
      <c r="P58" s="783">
        <f t="shared" si="82"/>
        <v>48</v>
      </c>
      <c r="Q58" s="783">
        <f t="shared" si="83"/>
        <v>9.8699999999999992</v>
      </c>
      <c r="R58" s="788" t="str">
        <f t="shared" si="84"/>
        <v>kg</v>
      </c>
      <c r="S58" s="783">
        <f t="shared" si="85"/>
        <v>47</v>
      </c>
      <c r="T58" s="776">
        <f t="shared" si="86"/>
        <v>14.805</v>
      </c>
      <c r="U58" s="777" t="str">
        <f t="shared" si="87"/>
        <v>kg</v>
      </c>
      <c r="V58" s="783">
        <f t="shared" si="88"/>
        <v>44</v>
      </c>
      <c r="W58" s="776">
        <f t="shared" si="89"/>
        <v>29.61</v>
      </c>
      <c r="X58" s="777" t="str">
        <f t="shared" si="90"/>
        <v>kg</v>
      </c>
      <c r="Z58" s="315" t="b">
        <f t="shared" si="23"/>
        <v>1</v>
      </c>
      <c r="AA58" s="315" t="b">
        <f t="shared" si="24"/>
        <v>1</v>
      </c>
      <c r="AB58" s="315" t="b">
        <f t="shared" si="25"/>
        <v>1</v>
      </c>
      <c r="AC58" s="315" t="b">
        <f t="shared" si="26"/>
        <v>1</v>
      </c>
      <c r="AD58" s="315" t="b">
        <f t="shared" si="27"/>
        <v>1</v>
      </c>
      <c r="AE58" s="315" t="b">
        <f t="shared" si="28"/>
        <v>1</v>
      </c>
      <c r="AF58" s="315" t="b">
        <f t="shared" si="29"/>
        <v>1</v>
      </c>
      <c r="AG58" s="315" t="b">
        <f t="shared" si="30"/>
        <v>1</v>
      </c>
      <c r="AH58" s="315" t="b">
        <f t="shared" si="31"/>
        <v>1</v>
      </c>
      <c r="AI58" s="315" t="b">
        <f t="shared" si="32"/>
        <v>1</v>
      </c>
      <c r="AJ58" s="315" t="b">
        <f t="shared" si="33"/>
        <v>1</v>
      </c>
      <c r="AK58" s="315" t="b">
        <f t="shared" si="34"/>
        <v>1</v>
      </c>
      <c r="AL58" s="809" t="str">
        <f t="shared" si="35"/>
        <v/>
      </c>
      <c r="AM58" s="810" t="str">
        <f t="shared" si="36"/>
        <v/>
      </c>
      <c r="AN58" s="810" t="str">
        <f t="shared" si="37"/>
        <v/>
      </c>
      <c r="AO58" s="810" t="str">
        <f t="shared" si="38"/>
        <v/>
      </c>
      <c r="AP58" s="810" t="str">
        <f t="shared" si="39"/>
        <v/>
      </c>
      <c r="AQ58" s="810" t="str">
        <f t="shared" si="40"/>
        <v/>
      </c>
      <c r="AR58" s="810" t="str">
        <f t="shared" si="41"/>
        <v/>
      </c>
      <c r="AS58" s="810" t="str">
        <f t="shared" si="42"/>
        <v/>
      </c>
      <c r="AT58" s="810" t="str">
        <f t="shared" si="43"/>
        <v/>
      </c>
      <c r="AU58" s="810" t="str">
        <f t="shared" si="44"/>
        <v/>
      </c>
      <c r="AV58" s="810" t="str">
        <f t="shared" si="45"/>
        <v/>
      </c>
      <c r="AW58" s="814" t="str">
        <f t="shared" si="45"/>
        <v/>
      </c>
    </row>
    <row r="59" spans="1:49">
      <c r="A59" s="794" t="str">
        <f t="shared" si="46"/>
        <v>Ca 1,</v>
      </c>
      <c r="B59" s="314" t="s">
        <v>925</v>
      </c>
      <c r="C59" s="314" t="str">
        <f t="shared" si="69"/>
        <v>Muối axit Phosphoric  (tỷ lệ axit)
磷酸鹽</v>
      </c>
      <c r="D59" s="314" t="str">
        <f t="shared" si="70"/>
        <v>CR-000C</v>
      </c>
      <c r="E59" s="314" t="str">
        <f t="shared" si="71"/>
        <v>Point</v>
      </c>
      <c r="F59" s="314" t="str">
        <f t="shared" si="72"/>
        <v>tỷ lệ axit  酸比 
5.2~7.8 (6.5)</v>
      </c>
      <c r="G59" s="783">
        <f t="shared" si="73"/>
        <v>7.4561403508771926</v>
      </c>
      <c r="H59" s="783">
        <f t="shared" si="74"/>
        <v>0</v>
      </c>
      <c r="I59" s="788" t="str">
        <f t="shared" si="75"/>
        <v>kg</v>
      </c>
      <c r="J59" s="783">
        <f t="shared" si="76"/>
        <v>8.3333333333333339</v>
      </c>
      <c r="K59" s="783">
        <f t="shared" si="77"/>
        <v>0</v>
      </c>
      <c r="L59" s="788" t="str">
        <f t="shared" si="78"/>
        <v>kg</v>
      </c>
      <c r="M59" s="783">
        <f t="shared" si="79"/>
        <v>8.9583333333333339</v>
      </c>
      <c r="N59" s="783">
        <f t="shared" si="80"/>
        <v>0</v>
      </c>
      <c r="O59" s="788" t="str">
        <f t="shared" si="81"/>
        <v>kg</v>
      </c>
      <c r="P59" s="783">
        <f t="shared" si="82"/>
        <v>10.212765957446807</v>
      </c>
      <c r="Q59" s="783">
        <f t="shared" si="83"/>
        <v>0</v>
      </c>
      <c r="R59" s="788" t="str">
        <f t="shared" si="84"/>
        <v>kg</v>
      </c>
      <c r="S59" s="783">
        <f t="shared" si="85"/>
        <v>13.428571428571429</v>
      </c>
      <c r="T59" s="776">
        <f t="shared" si="86"/>
        <v>0</v>
      </c>
      <c r="U59" s="777" t="str">
        <f t="shared" si="87"/>
        <v>kg</v>
      </c>
      <c r="V59" s="783">
        <f t="shared" si="88"/>
        <v>11</v>
      </c>
      <c r="W59" s="776">
        <f t="shared" si="89"/>
        <v>0</v>
      </c>
      <c r="X59" s="777" t="str">
        <f t="shared" si="90"/>
        <v>kg</v>
      </c>
      <c r="Z59" s="315" t="b">
        <f t="shared" si="23"/>
        <v>1</v>
      </c>
      <c r="AA59" s="315" t="b">
        <f t="shared" si="24"/>
        <v>1</v>
      </c>
      <c r="AB59" s="315" t="b">
        <f t="shared" si="25"/>
        <v>1</v>
      </c>
      <c r="AC59" s="315" t="b">
        <f t="shared" si="26"/>
        <v>1</v>
      </c>
      <c r="AD59" s="315" t="b">
        <f t="shared" si="27"/>
        <v>1</v>
      </c>
      <c r="AE59" s="315" t="b">
        <f t="shared" si="28"/>
        <v>1</v>
      </c>
      <c r="AF59" s="315" t="b">
        <f t="shared" si="29"/>
        <v>1</v>
      </c>
      <c r="AG59" s="315" t="b">
        <f t="shared" si="30"/>
        <v>1</v>
      </c>
      <c r="AH59" s="315" t="b">
        <f t="shared" si="31"/>
        <v>1</v>
      </c>
      <c r="AI59" s="315" t="b">
        <f t="shared" si="32"/>
        <v>1</v>
      </c>
      <c r="AJ59" s="315" t="b">
        <f t="shared" si="33"/>
        <v>1</v>
      </c>
      <c r="AK59" s="315" t="b">
        <f t="shared" si="34"/>
        <v>1</v>
      </c>
      <c r="AL59" s="809" t="str">
        <f t="shared" si="35"/>
        <v/>
      </c>
      <c r="AM59" s="810" t="str">
        <f t="shared" si="36"/>
        <v/>
      </c>
      <c r="AN59" s="810" t="str">
        <f t="shared" si="37"/>
        <v/>
      </c>
      <c r="AO59" s="810" t="str">
        <f t="shared" si="38"/>
        <v/>
      </c>
      <c r="AP59" s="810" t="str">
        <f t="shared" si="39"/>
        <v/>
      </c>
      <c r="AQ59" s="810" t="str">
        <f t="shared" si="40"/>
        <v/>
      </c>
      <c r="AR59" s="810" t="str">
        <f t="shared" si="41"/>
        <v/>
      </c>
      <c r="AS59" s="810" t="str">
        <f t="shared" si="42"/>
        <v/>
      </c>
      <c r="AT59" s="810" t="str">
        <f t="shared" si="43"/>
        <v/>
      </c>
      <c r="AU59" s="810" t="str">
        <f t="shared" si="44"/>
        <v/>
      </c>
      <c r="AV59" s="810" t="str">
        <f t="shared" si="45"/>
        <v/>
      </c>
      <c r="AW59" s="814" t="str">
        <f t="shared" si="45"/>
        <v/>
      </c>
    </row>
    <row r="60" spans="1:49">
      <c r="A60" s="794" t="str">
        <f t="shared" si="46"/>
        <v>Ca 1,</v>
      </c>
      <c r="B60" s="314" t="s">
        <v>926</v>
      </c>
      <c r="C60" s="314" t="str">
        <f t="shared" si="69"/>
        <v>Muối axit Phosphoric (Fe phân ly) 
磷酸鹽</v>
      </c>
      <c r="D60" s="314" t="str">
        <f t="shared" si="70"/>
        <v>CR-000C</v>
      </c>
      <c r="E60" s="314" t="str">
        <f t="shared" si="71"/>
        <v>Point</v>
      </c>
      <c r="F60" s="314" t="str">
        <f t="shared" si="72"/>
        <v xml:space="preserve">Fe phân ly &lt;0.4
 鐵離子&lt;0.4
</v>
      </c>
      <c r="G60" s="783">
        <f t="shared" si="73"/>
        <v>0.11</v>
      </c>
      <c r="H60" s="783">
        <f t="shared" si="74"/>
        <v>0</v>
      </c>
      <c r="I60" s="788">
        <f t="shared" si="75"/>
        <v>0</v>
      </c>
      <c r="J60" s="783">
        <f t="shared" si="76"/>
        <v>0.12</v>
      </c>
      <c r="K60" s="783">
        <f t="shared" si="77"/>
        <v>0</v>
      </c>
      <c r="L60" s="788">
        <f t="shared" si="78"/>
        <v>0</v>
      </c>
      <c r="M60" s="783">
        <f t="shared" si="79"/>
        <v>0.14000000000000001</v>
      </c>
      <c r="N60" s="783">
        <f t="shared" si="80"/>
        <v>0</v>
      </c>
      <c r="O60" s="788">
        <f t="shared" si="81"/>
        <v>0</v>
      </c>
      <c r="P60" s="783">
        <f t="shared" si="82"/>
        <v>0.14000000000000001</v>
      </c>
      <c r="Q60" s="783">
        <f t="shared" si="83"/>
        <v>0</v>
      </c>
      <c r="R60" s="788">
        <f t="shared" si="84"/>
        <v>0</v>
      </c>
      <c r="S60" s="783">
        <f t="shared" si="85"/>
        <v>0.2</v>
      </c>
      <c r="T60" s="776">
        <f t="shared" si="86"/>
        <v>0</v>
      </c>
      <c r="U60" s="777">
        <f t="shared" si="87"/>
        <v>0</v>
      </c>
      <c r="V60" s="783">
        <f t="shared" si="88"/>
        <v>0.18</v>
      </c>
      <c r="W60" s="776">
        <f t="shared" si="89"/>
        <v>0</v>
      </c>
      <c r="X60" s="777">
        <f t="shared" si="90"/>
        <v>0</v>
      </c>
      <c r="Z60" s="315" t="b">
        <f t="shared" si="23"/>
        <v>1</v>
      </c>
      <c r="AA60" s="315" t="b">
        <f t="shared" si="24"/>
        <v>1</v>
      </c>
      <c r="AB60" s="315" t="b">
        <f t="shared" si="25"/>
        <v>1</v>
      </c>
      <c r="AC60" s="315" t="b">
        <f t="shared" si="26"/>
        <v>1</v>
      </c>
      <c r="AD60" s="315" t="b">
        <f t="shared" si="27"/>
        <v>1</v>
      </c>
      <c r="AE60" s="315" t="b">
        <f t="shared" si="28"/>
        <v>1</v>
      </c>
      <c r="AF60" s="315" t="b">
        <f t="shared" si="29"/>
        <v>1</v>
      </c>
      <c r="AG60" s="315" t="b">
        <f t="shared" si="30"/>
        <v>1</v>
      </c>
      <c r="AH60" s="315" t="b">
        <f t="shared" si="31"/>
        <v>1</v>
      </c>
      <c r="AI60" s="315" t="b">
        <f t="shared" si="32"/>
        <v>1</v>
      </c>
      <c r="AJ60" s="315" t="b">
        <f t="shared" si="33"/>
        <v>1</v>
      </c>
      <c r="AK60" s="315" t="b">
        <f t="shared" si="34"/>
        <v>1</v>
      </c>
      <c r="AL60" s="809" t="str">
        <f t="shared" si="35"/>
        <v/>
      </c>
      <c r="AM60" s="810" t="str">
        <f t="shared" si="36"/>
        <v/>
      </c>
      <c r="AN60" s="810" t="str">
        <f t="shared" si="37"/>
        <v/>
      </c>
      <c r="AO60" s="810" t="str">
        <f t="shared" si="38"/>
        <v/>
      </c>
      <c r="AP60" s="810" t="str">
        <f t="shared" si="39"/>
        <v/>
      </c>
      <c r="AQ60" s="810" t="str">
        <f t="shared" si="40"/>
        <v/>
      </c>
      <c r="AR60" s="810" t="str">
        <f t="shared" si="41"/>
        <v/>
      </c>
      <c r="AS60" s="810" t="str">
        <f t="shared" si="42"/>
        <v/>
      </c>
      <c r="AT60" s="810" t="str">
        <f t="shared" si="43"/>
        <v/>
      </c>
      <c r="AU60" s="810" t="str">
        <f t="shared" si="44"/>
        <v/>
      </c>
      <c r="AV60" s="810" t="str">
        <f t="shared" si="45"/>
        <v/>
      </c>
      <c r="AW60" s="814" t="str">
        <f t="shared" si="45"/>
        <v/>
      </c>
    </row>
    <row r="61" spans="1:49">
      <c r="A61" s="794" t="str">
        <f t="shared" si="46"/>
        <v>Ca 1,</v>
      </c>
      <c r="B61" s="314" t="s">
        <v>921</v>
      </c>
      <c r="C61" s="314" t="str">
        <f t="shared" si="69"/>
        <v>Xà bông bôi trơn
潤滑皂</v>
      </c>
      <c r="D61" s="314" t="str">
        <f t="shared" si="70"/>
        <v>CR-000C</v>
      </c>
      <c r="E61" s="314" t="str">
        <f t="shared" si="71"/>
        <v>Point</v>
      </c>
      <c r="F61" s="314" t="str">
        <f t="shared" si="72"/>
        <v>0.8~1.2</v>
      </c>
      <c r="G61" s="783">
        <f t="shared" si="73"/>
        <v>1</v>
      </c>
      <c r="H61" s="783">
        <f t="shared" si="74"/>
        <v>0</v>
      </c>
      <c r="I61" s="788" t="str">
        <f t="shared" si="75"/>
        <v>kg</v>
      </c>
      <c r="J61" s="783">
        <f t="shared" si="76"/>
        <v>0.9</v>
      </c>
      <c r="K61" s="783">
        <f t="shared" si="77"/>
        <v>0.12339999999999998</v>
      </c>
      <c r="L61" s="788" t="str">
        <f t="shared" si="78"/>
        <v>kg</v>
      </c>
      <c r="M61" s="783">
        <f t="shared" si="79"/>
        <v>0.95</v>
      </c>
      <c r="N61" s="783">
        <f t="shared" si="80"/>
        <v>6.1700000000000053E-2</v>
      </c>
      <c r="O61" s="788" t="str">
        <f t="shared" si="81"/>
        <v>kg</v>
      </c>
      <c r="P61" s="783">
        <f t="shared" si="82"/>
        <v>0.95</v>
      </c>
      <c r="Q61" s="783">
        <f t="shared" si="83"/>
        <v>6.1700000000000053E-2</v>
      </c>
      <c r="R61" s="788" t="str">
        <f t="shared" si="84"/>
        <v>kg</v>
      </c>
      <c r="S61" s="783">
        <f t="shared" si="85"/>
        <v>0.95</v>
      </c>
      <c r="T61" s="776">
        <f t="shared" si="86"/>
        <v>6.1700000000000053E-2</v>
      </c>
      <c r="U61" s="777" t="str">
        <f t="shared" si="87"/>
        <v>kg</v>
      </c>
      <c r="V61" s="783">
        <f t="shared" si="88"/>
        <v>0.95</v>
      </c>
      <c r="W61" s="776">
        <f t="shared" si="89"/>
        <v>6.1700000000000053E-2</v>
      </c>
      <c r="X61" s="777" t="str">
        <f t="shared" si="90"/>
        <v>kg</v>
      </c>
      <c r="Z61" s="315" t="b">
        <f t="shared" si="23"/>
        <v>1</v>
      </c>
      <c r="AA61" s="315" t="b">
        <f t="shared" si="24"/>
        <v>1</v>
      </c>
      <c r="AB61" s="315" t="b">
        <f t="shared" si="25"/>
        <v>1</v>
      </c>
      <c r="AC61" s="315" t="b">
        <f t="shared" si="26"/>
        <v>1</v>
      </c>
      <c r="AD61" s="315" t="b">
        <f t="shared" si="27"/>
        <v>1</v>
      </c>
      <c r="AE61" s="315" t="b">
        <f t="shared" si="28"/>
        <v>1</v>
      </c>
      <c r="AF61" s="315" t="b">
        <f t="shared" si="29"/>
        <v>1</v>
      </c>
      <c r="AG61" s="315" t="b">
        <f t="shared" si="30"/>
        <v>1</v>
      </c>
      <c r="AH61" s="315" t="b">
        <f t="shared" si="31"/>
        <v>1</v>
      </c>
      <c r="AI61" s="315" t="b">
        <f t="shared" si="32"/>
        <v>1</v>
      </c>
      <c r="AJ61" s="315" t="b">
        <f t="shared" si="33"/>
        <v>1</v>
      </c>
      <c r="AK61" s="315" t="b">
        <f t="shared" si="34"/>
        <v>1</v>
      </c>
      <c r="AL61" s="809" t="str">
        <f t="shared" si="35"/>
        <v/>
      </c>
      <c r="AM61" s="810" t="str">
        <f t="shared" si="36"/>
        <v/>
      </c>
      <c r="AN61" s="810" t="str">
        <f t="shared" si="37"/>
        <v/>
      </c>
      <c r="AO61" s="810" t="str">
        <f t="shared" si="38"/>
        <v/>
      </c>
      <c r="AP61" s="810" t="str">
        <f t="shared" si="39"/>
        <v/>
      </c>
      <c r="AQ61" s="810" t="str">
        <f t="shared" si="40"/>
        <v/>
      </c>
      <c r="AR61" s="810" t="str">
        <f t="shared" si="41"/>
        <v/>
      </c>
      <c r="AS61" s="810" t="str">
        <f t="shared" si="42"/>
        <v/>
      </c>
      <c r="AT61" s="810" t="str">
        <f t="shared" si="43"/>
        <v/>
      </c>
      <c r="AU61" s="810" t="str">
        <f t="shared" si="44"/>
        <v/>
      </c>
      <c r="AV61" s="810" t="str">
        <f t="shared" si="45"/>
        <v/>
      </c>
      <c r="AW61" s="814" t="str">
        <f t="shared" si="45"/>
        <v/>
      </c>
    </row>
    <row r="62" spans="1:49">
      <c r="A62" s="794" t="str">
        <f t="shared" ref="A62:A99" si="91">IF(B62="","",$A$4)</f>
        <v>Ca 1,</v>
      </c>
      <c r="B62" s="314" t="s">
        <v>922</v>
      </c>
      <c r="C62" s="314" t="str">
        <f t="shared" si="69"/>
        <v>pH</v>
      </c>
      <c r="D62" s="314" t="str">
        <f t="shared" si="70"/>
        <v>CR-000C</v>
      </c>
      <c r="E62" s="314" t="str">
        <f t="shared" si="71"/>
        <v>pH</v>
      </c>
      <c r="F62" s="314" t="str">
        <f t="shared" si="72"/>
        <v>8~10</v>
      </c>
      <c r="G62" s="783">
        <f t="shared" si="73"/>
        <v>10</v>
      </c>
      <c r="H62" s="783">
        <f t="shared" si="74"/>
        <v>0</v>
      </c>
      <c r="I62" s="788">
        <f t="shared" si="75"/>
        <v>0</v>
      </c>
      <c r="J62" s="783">
        <f t="shared" si="76"/>
        <v>10</v>
      </c>
      <c r="K62" s="783">
        <f t="shared" si="77"/>
        <v>0</v>
      </c>
      <c r="L62" s="788">
        <f t="shared" si="78"/>
        <v>0</v>
      </c>
      <c r="M62" s="783">
        <f t="shared" si="79"/>
        <v>9.5</v>
      </c>
      <c r="N62" s="783">
        <f t="shared" si="80"/>
        <v>0</v>
      </c>
      <c r="O62" s="788">
        <f t="shared" si="81"/>
        <v>0</v>
      </c>
      <c r="P62" s="783">
        <f t="shared" si="82"/>
        <v>10</v>
      </c>
      <c r="Q62" s="783">
        <f t="shared" si="83"/>
        <v>0</v>
      </c>
      <c r="R62" s="788">
        <f t="shared" si="84"/>
        <v>0</v>
      </c>
      <c r="S62" s="783">
        <f t="shared" si="85"/>
        <v>10</v>
      </c>
      <c r="T62" s="776">
        <f t="shared" si="86"/>
        <v>0</v>
      </c>
      <c r="U62" s="777">
        <f t="shared" si="87"/>
        <v>0</v>
      </c>
      <c r="V62" s="783">
        <f t="shared" si="88"/>
        <v>10</v>
      </c>
      <c r="W62" s="776">
        <f t="shared" si="89"/>
        <v>0</v>
      </c>
      <c r="X62" s="777">
        <f t="shared" si="90"/>
        <v>0</v>
      </c>
      <c r="Z62" s="315" t="b">
        <f t="shared" si="23"/>
        <v>1</v>
      </c>
      <c r="AA62" s="315" t="b">
        <f t="shared" si="24"/>
        <v>1</v>
      </c>
      <c r="AB62" s="315" t="b">
        <f t="shared" si="25"/>
        <v>1</v>
      </c>
      <c r="AC62" s="315" t="b">
        <f t="shared" si="26"/>
        <v>1</v>
      </c>
      <c r="AD62" s="315" t="b">
        <f t="shared" si="27"/>
        <v>1</v>
      </c>
      <c r="AE62" s="315" t="b">
        <f t="shared" si="28"/>
        <v>1</v>
      </c>
      <c r="AF62" s="315" t="b">
        <f t="shared" si="29"/>
        <v>1</v>
      </c>
      <c r="AG62" s="315" t="b">
        <f t="shared" si="30"/>
        <v>1</v>
      </c>
      <c r="AH62" s="315" t="b">
        <f t="shared" si="31"/>
        <v>1</v>
      </c>
      <c r="AI62" s="315" t="b">
        <f t="shared" si="32"/>
        <v>1</v>
      </c>
      <c r="AJ62" s="315" t="b">
        <f t="shared" si="33"/>
        <v>1</v>
      </c>
      <c r="AK62" s="315" t="b">
        <f t="shared" si="34"/>
        <v>1</v>
      </c>
      <c r="AL62" s="809" t="str">
        <f t="shared" si="35"/>
        <v/>
      </c>
      <c r="AM62" s="810" t="str">
        <f t="shared" si="36"/>
        <v/>
      </c>
      <c r="AN62" s="810" t="str">
        <f t="shared" si="37"/>
        <v/>
      </c>
      <c r="AO62" s="810" t="str">
        <f t="shared" si="38"/>
        <v/>
      </c>
      <c r="AP62" s="810" t="str">
        <f t="shared" si="39"/>
        <v/>
      </c>
      <c r="AQ62" s="810" t="str">
        <f t="shared" si="40"/>
        <v/>
      </c>
      <c r="AR62" s="810" t="str">
        <f t="shared" si="41"/>
        <v/>
      </c>
      <c r="AS62" s="810" t="str">
        <f t="shared" si="42"/>
        <v/>
      </c>
      <c r="AT62" s="810" t="str">
        <f t="shared" si="43"/>
        <v/>
      </c>
      <c r="AU62" s="810" t="str">
        <f t="shared" si="44"/>
        <v/>
      </c>
      <c r="AV62" s="810" t="str">
        <f t="shared" si="45"/>
        <v/>
      </c>
      <c r="AW62" s="814" t="str">
        <f t="shared" si="45"/>
        <v/>
      </c>
    </row>
    <row r="63" spans="1:49">
      <c r="A63" s="794" t="str">
        <f t="shared" si="91"/>
        <v>Ca 1,</v>
      </c>
      <c r="B63" s="314" t="s">
        <v>455</v>
      </c>
      <c r="C63" s="314" t="str">
        <f t="shared" si="69"/>
        <v/>
      </c>
      <c r="D63" s="314" t="str">
        <f t="shared" si="70"/>
        <v/>
      </c>
      <c r="E63" s="314" t="str">
        <f t="shared" si="71"/>
        <v/>
      </c>
      <c r="F63" s="314" t="str">
        <f t="shared" si="72"/>
        <v/>
      </c>
      <c r="G63" s="783" t="str">
        <f t="shared" si="73"/>
        <v/>
      </c>
      <c r="H63" s="783" t="str">
        <f t="shared" si="74"/>
        <v/>
      </c>
      <c r="I63" s="788" t="str">
        <f t="shared" si="75"/>
        <v/>
      </c>
      <c r="J63" s="783" t="str">
        <f t="shared" si="76"/>
        <v/>
      </c>
      <c r="K63" s="783" t="str">
        <f t="shared" si="77"/>
        <v/>
      </c>
      <c r="L63" s="788" t="str">
        <f t="shared" si="78"/>
        <v/>
      </c>
      <c r="M63" s="783" t="str">
        <f t="shared" si="79"/>
        <v/>
      </c>
      <c r="N63" s="783" t="str">
        <f t="shared" si="80"/>
        <v/>
      </c>
      <c r="O63" s="788" t="str">
        <f t="shared" si="81"/>
        <v/>
      </c>
      <c r="P63" s="783" t="str">
        <f t="shared" si="82"/>
        <v/>
      </c>
      <c r="Q63" s="783" t="str">
        <f t="shared" si="83"/>
        <v/>
      </c>
      <c r="R63" s="788" t="str">
        <f t="shared" si="84"/>
        <v/>
      </c>
      <c r="S63" s="783" t="str">
        <f t="shared" si="85"/>
        <v/>
      </c>
      <c r="T63" s="776" t="str">
        <f t="shared" si="86"/>
        <v/>
      </c>
      <c r="U63" s="777" t="str">
        <f t="shared" si="87"/>
        <v/>
      </c>
      <c r="V63" s="783" t="str">
        <f t="shared" si="88"/>
        <v/>
      </c>
      <c r="W63" s="776" t="str">
        <f t="shared" si="89"/>
        <v/>
      </c>
      <c r="X63" s="777" t="str">
        <f t="shared" si="90"/>
        <v/>
      </c>
      <c r="Z63" s="315" t="b">
        <f t="shared" si="23"/>
        <v>0</v>
      </c>
      <c r="AA63" s="315" t="b">
        <f t="shared" si="24"/>
        <v>0</v>
      </c>
      <c r="AB63" s="315" t="b">
        <f t="shared" si="25"/>
        <v>0</v>
      </c>
      <c r="AC63" s="315" t="b">
        <f t="shared" si="26"/>
        <v>0</v>
      </c>
      <c r="AD63" s="315" t="b">
        <f t="shared" si="27"/>
        <v>0</v>
      </c>
      <c r="AE63" s="315" t="b">
        <f t="shared" si="28"/>
        <v>0</v>
      </c>
      <c r="AF63" s="315" t="b">
        <f t="shared" si="29"/>
        <v>0</v>
      </c>
      <c r="AG63" s="315" t="b">
        <f t="shared" si="30"/>
        <v>0</v>
      </c>
      <c r="AH63" s="315" t="b">
        <f t="shared" si="31"/>
        <v>0</v>
      </c>
      <c r="AI63" s="315" t="b">
        <f t="shared" si="32"/>
        <v>0</v>
      </c>
      <c r="AJ63" s="315" t="b">
        <f t="shared" si="33"/>
        <v>0</v>
      </c>
      <c r="AK63" s="315" t="b">
        <f t="shared" si="34"/>
        <v>0</v>
      </c>
      <c r="AL63" s="809">
        <f t="shared" si="35"/>
        <v>1</v>
      </c>
      <c r="AM63" s="810">
        <f t="shared" si="36"/>
        <v>1</v>
      </c>
      <c r="AN63" s="810">
        <f t="shared" si="37"/>
        <v>1</v>
      </c>
      <c r="AO63" s="810">
        <f t="shared" si="38"/>
        <v>1</v>
      </c>
      <c r="AP63" s="810">
        <f t="shared" si="39"/>
        <v>1</v>
      </c>
      <c r="AQ63" s="810">
        <f t="shared" si="40"/>
        <v>1</v>
      </c>
      <c r="AR63" s="810">
        <f t="shared" si="41"/>
        <v>1</v>
      </c>
      <c r="AS63" s="810">
        <f t="shared" si="42"/>
        <v>1</v>
      </c>
      <c r="AT63" s="810">
        <f t="shared" si="43"/>
        <v>1</v>
      </c>
      <c r="AU63" s="810">
        <f t="shared" si="44"/>
        <v>1</v>
      </c>
      <c r="AV63" s="810">
        <f t="shared" si="45"/>
        <v>1</v>
      </c>
      <c r="AW63" s="814">
        <f t="shared" si="45"/>
        <v>1</v>
      </c>
    </row>
    <row r="64" spans="1:49">
      <c r="A64" s="794" t="str">
        <f t="shared" si="91"/>
        <v>Ca 1,</v>
      </c>
      <c r="B64" s="314" t="s">
        <v>457</v>
      </c>
      <c r="C64" s="314" t="str">
        <f t="shared" si="69"/>
        <v/>
      </c>
      <c r="D64" s="314" t="str">
        <f t="shared" si="70"/>
        <v/>
      </c>
      <c r="E64" s="314" t="str">
        <f t="shared" si="71"/>
        <v/>
      </c>
      <c r="F64" s="314" t="str">
        <f t="shared" si="72"/>
        <v/>
      </c>
      <c r="G64" s="783" t="str">
        <f t="shared" si="73"/>
        <v/>
      </c>
      <c r="H64" s="783" t="str">
        <f t="shared" si="74"/>
        <v/>
      </c>
      <c r="I64" s="788" t="str">
        <f t="shared" si="75"/>
        <v/>
      </c>
      <c r="J64" s="783" t="str">
        <f t="shared" si="76"/>
        <v/>
      </c>
      <c r="K64" s="783" t="str">
        <f t="shared" si="77"/>
        <v/>
      </c>
      <c r="L64" s="788" t="str">
        <f t="shared" si="78"/>
        <v/>
      </c>
      <c r="M64" s="783" t="str">
        <f t="shared" si="79"/>
        <v/>
      </c>
      <c r="N64" s="783" t="str">
        <f t="shared" si="80"/>
        <v/>
      </c>
      <c r="O64" s="788" t="str">
        <f t="shared" si="81"/>
        <v/>
      </c>
      <c r="P64" s="783" t="str">
        <f t="shared" si="82"/>
        <v/>
      </c>
      <c r="Q64" s="783" t="str">
        <f t="shared" si="83"/>
        <v/>
      </c>
      <c r="R64" s="788" t="str">
        <f t="shared" si="84"/>
        <v/>
      </c>
      <c r="S64" s="783" t="str">
        <f t="shared" si="85"/>
        <v/>
      </c>
      <c r="T64" s="776" t="str">
        <f t="shared" si="86"/>
        <v/>
      </c>
      <c r="U64" s="777" t="str">
        <f t="shared" si="87"/>
        <v/>
      </c>
      <c r="V64" s="783" t="str">
        <f t="shared" si="88"/>
        <v/>
      </c>
      <c r="W64" s="776" t="str">
        <f t="shared" si="89"/>
        <v/>
      </c>
      <c r="X64" s="777" t="str">
        <f t="shared" si="90"/>
        <v/>
      </c>
      <c r="Z64" s="315" t="b">
        <f t="shared" si="23"/>
        <v>0</v>
      </c>
      <c r="AA64" s="315" t="b">
        <f t="shared" si="24"/>
        <v>0</v>
      </c>
      <c r="AB64" s="315" t="b">
        <f t="shared" si="25"/>
        <v>0</v>
      </c>
      <c r="AC64" s="315" t="b">
        <f t="shared" si="26"/>
        <v>0</v>
      </c>
      <c r="AD64" s="315" t="b">
        <f t="shared" si="27"/>
        <v>0</v>
      </c>
      <c r="AE64" s="315" t="b">
        <f t="shared" si="28"/>
        <v>0</v>
      </c>
      <c r="AF64" s="315" t="b">
        <f t="shared" si="29"/>
        <v>0</v>
      </c>
      <c r="AG64" s="315" t="b">
        <f t="shared" si="30"/>
        <v>0</v>
      </c>
      <c r="AH64" s="315" t="b">
        <f t="shared" si="31"/>
        <v>0</v>
      </c>
      <c r="AI64" s="315" t="b">
        <f t="shared" si="32"/>
        <v>0</v>
      </c>
      <c r="AJ64" s="315" t="b">
        <f t="shared" si="33"/>
        <v>0</v>
      </c>
      <c r="AK64" s="315" t="b">
        <f t="shared" si="34"/>
        <v>0</v>
      </c>
      <c r="AL64" s="809">
        <f t="shared" si="35"/>
        <v>1</v>
      </c>
      <c r="AM64" s="810">
        <f t="shared" si="36"/>
        <v>1</v>
      </c>
      <c r="AN64" s="810">
        <f t="shared" si="37"/>
        <v>1</v>
      </c>
      <c r="AO64" s="810">
        <f t="shared" si="38"/>
        <v>1</v>
      </c>
      <c r="AP64" s="810">
        <f t="shared" si="39"/>
        <v>1</v>
      </c>
      <c r="AQ64" s="810">
        <f t="shared" si="40"/>
        <v>1</v>
      </c>
      <c r="AR64" s="810">
        <f t="shared" si="41"/>
        <v>1</v>
      </c>
      <c r="AS64" s="810">
        <f t="shared" si="42"/>
        <v>1</v>
      </c>
      <c r="AT64" s="810">
        <f t="shared" si="43"/>
        <v>1</v>
      </c>
      <c r="AU64" s="810">
        <f t="shared" si="44"/>
        <v>1</v>
      </c>
      <c r="AV64" s="810">
        <f t="shared" si="45"/>
        <v>1</v>
      </c>
      <c r="AW64" s="814">
        <f t="shared" si="45"/>
        <v>1</v>
      </c>
    </row>
    <row r="65" spans="1:49">
      <c r="A65" s="794" t="str">
        <f t="shared" si="91"/>
        <v>Ca 1,</v>
      </c>
      <c r="B65" s="314" t="s">
        <v>458</v>
      </c>
      <c r="C65" s="314" t="str">
        <f t="shared" si="69"/>
        <v/>
      </c>
      <c r="D65" s="314" t="str">
        <f t="shared" si="70"/>
        <v/>
      </c>
      <c r="E65" s="314" t="str">
        <f t="shared" si="71"/>
        <v/>
      </c>
      <c r="F65" s="314" t="str">
        <f t="shared" si="72"/>
        <v/>
      </c>
      <c r="G65" s="783" t="str">
        <f t="shared" si="73"/>
        <v/>
      </c>
      <c r="H65" s="783" t="str">
        <f t="shared" si="74"/>
        <v/>
      </c>
      <c r="I65" s="788" t="str">
        <f t="shared" si="75"/>
        <v/>
      </c>
      <c r="J65" s="783" t="str">
        <f t="shared" si="76"/>
        <v/>
      </c>
      <c r="K65" s="783" t="str">
        <f t="shared" si="77"/>
        <v/>
      </c>
      <c r="L65" s="788" t="str">
        <f t="shared" si="78"/>
        <v/>
      </c>
      <c r="M65" s="783" t="str">
        <f t="shared" si="79"/>
        <v/>
      </c>
      <c r="N65" s="783" t="str">
        <f t="shared" si="80"/>
        <v/>
      </c>
      <c r="O65" s="788" t="str">
        <f t="shared" si="81"/>
        <v/>
      </c>
      <c r="P65" s="783" t="str">
        <f t="shared" si="82"/>
        <v/>
      </c>
      <c r="Q65" s="783" t="str">
        <f t="shared" si="83"/>
        <v/>
      </c>
      <c r="R65" s="788" t="str">
        <f t="shared" si="84"/>
        <v/>
      </c>
      <c r="S65" s="783" t="str">
        <f t="shared" si="85"/>
        <v/>
      </c>
      <c r="T65" s="776" t="str">
        <f t="shared" si="86"/>
        <v/>
      </c>
      <c r="U65" s="777" t="str">
        <f t="shared" si="87"/>
        <v/>
      </c>
      <c r="V65" s="783" t="str">
        <f t="shared" si="88"/>
        <v/>
      </c>
      <c r="W65" s="776" t="str">
        <f t="shared" si="89"/>
        <v/>
      </c>
      <c r="X65" s="777" t="str">
        <f t="shared" si="90"/>
        <v/>
      </c>
      <c r="Z65" s="315" t="b">
        <f t="shared" si="23"/>
        <v>0</v>
      </c>
      <c r="AA65" s="315" t="b">
        <f t="shared" si="24"/>
        <v>0</v>
      </c>
      <c r="AB65" s="315" t="b">
        <f t="shared" si="25"/>
        <v>0</v>
      </c>
      <c r="AC65" s="315" t="b">
        <f t="shared" si="26"/>
        <v>0</v>
      </c>
      <c r="AD65" s="315" t="b">
        <f t="shared" si="27"/>
        <v>0</v>
      </c>
      <c r="AE65" s="315" t="b">
        <f t="shared" si="28"/>
        <v>0</v>
      </c>
      <c r="AF65" s="315" t="b">
        <f t="shared" si="29"/>
        <v>0</v>
      </c>
      <c r="AG65" s="315" t="b">
        <f t="shared" si="30"/>
        <v>0</v>
      </c>
      <c r="AH65" s="315" t="b">
        <f t="shared" si="31"/>
        <v>0</v>
      </c>
      <c r="AI65" s="315" t="b">
        <f t="shared" si="32"/>
        <v>0</v>
      </c>
      <c r="AJ65" s="315" t="b">
        <f t="shared" si="33"/>
        <v>0</v>
      </c>
      <c r="AK65" s="315" t="b">
        <f t="shared" si="34"/>
        <v>0</v>
      </c>
      <c r="AL65" s="809">
        <f t="shared" si="35"/>
        <v>1</v>
      </c>
      <c r="AM65" s="810">
        <f t="shared" si="36"/>
        <v>1</v>
      </c>
      <c r="AN65" s="810">
        <f t="shared" si="37"/>
        <v>1</v>
      </c>
      <c r="AO65" s="810">
        <f t="shared" si="38"/>
        <v>1</v>
      </c>
      <c r="AP65" s="810">
        <f t="shared" si="39"/>
        <v>1</v>
      </c>
      <c r="AQ65" s="810">
        <f t="shared" si="40"/>
        <v>1</v>
      </c>
      <c r="AR65" s="810">
        <f t="shared" si="41"/>
        <v>1</v>
      </c>
      <c r="AS65" s="810">
        <f t="shared" si="42"/>
        <v>1</v>
      </c>
      <c r="AT65" s="810">
        <f t="shared" si="43"/>
        <v>1</v>
      </c>
      <c r="AU65" s="810">
        <f t="shared" si="44"/>
        <v>1</v>
      </c>
      <c r="AV65" s="810">
        <f t="shared" si="45"/>
        <v>1</v>
      </c>
      <c r="AW65" s="814">
        <f t="shared" si="45"/>
        <v>1</v>
      </c>
    </row>
    <row r="66" spans="1:49">
      <c r="A66" s="794" t="str">
        <f t="shared" si="91"/>
        <v>Ca 1,</v>
      </c>
      <c r="B66" s="314" t="s">
        <v>459</v>
      </c>
      <c r="C66" s="314" t="str">
        <f t="shared" si="69"/>
        <v/>
      </c>
      <c r="D66" s="314" t="str">
        <f t="shared" si="70"/>
        <v/>
      </c>
      <c r="E66" s="314" t="str">
        <f t="shared" si="71"/>
        <v/>
      </c>
      <c r="F66" s="314" t="str">
        <f t="shared" si="72"/>
        <v/>
      </c>
      <c r="G66" s="783" t="str">
        <f t="shared" si="73"/>
        <v/>
      </c>
      <c r="H66" s="783" t="str">
        <f t="shared" si="74"/>
        <v/>
      </c>
      <c r="I66" s="788" t="str">
        <f t="shared" si="75"/>
        <v/>
      </c>
      <c r="J66" s="783" t="str">
        <f t="shared" si="76"/>
        <v/>
      </c>
      <c r="K66" s="783" t="str">
        <f t="shared" si="77"/>
        <v/>
      </c>
      <c r="L66" s="788" t="str">
        <f t="shared" si="78"/>
        <v/>
      </c>
      <c r="M66" s="783" t="str">
        <f t="shared" si="79"/>
        <v/>
      </c>
      <c r="N66" s="783" t="str">
        <f t="shared" si="80"/>
        <v/>
      </c>
      <c r="O66" s="788" t="str">
        <f t="shared" si="81"/>
        <v/>
      </c>
      <c r="P66" s="783" t="str">
        <f t="shared" si="82"/>
        <v/>
      </c>
      <c r="Q66" s="783" t="str">
        <f t="shared" si="83"/>
        <v/>
      </c>
      <c r="R66" s="788" t="str">
        <f t="shared" si="84"/>
        <v/>
      </c>
      <c r="S66" s="783" t="str">
        <f t="shared" si="85"/>
        <v/>
      </c>
      <c r="T66" s="776" t="str">
        <f t="shared" si="86"/>
        <v/>
      </c>
      <c r="U66" s="777" t="str">
        <f t="shared" si="87"/>
        <v/>
      </c>
      <c r="V66" s="783" t="str">
        <f t="shared" si="88"/>
        <v/>
      </c>
      <c r="W66" s="776" t="str">
        <f t="shared" si="89"/>
        <v/>
      </c>
      <c r="X66" s="777" t="str">
        <f t="shared" si="90"/>
        <v/>
      </c>
      <c r="Z66" s="315" t="b">
        <f t="shared" si="23"/>
        <v>0</v>
      </c>
      <c r="AA66" s="315" t="b">
        <f t="shared" si="24"/>
        <v>0</v>
      </c>
      <c r="AB66" s="315" t="b">
        <f t="shared" si="25"/>
        <v>0</v>
      </c>
      <c r="AC66" s="315" t="b">
        <f t="shared" si="26"/>
        <v>0</v>
      </c>
      <c r="AD66" s="315" t="b">
        <f t="shared" si="27"/>
        <v>0</v>
      </c>
      <c r="AE66" s="315" t="b">
        <f t="shared" si="28"/>
        <v>0</v>
      </c>
      <c r="AF66" s="315" t="b">
        <f t="shared" si="29"/>
        <v>0</v>
      </c>
      <c r="AG66" s="315" t="b">
        <f t="shared" si="30"/>
        <v>0</v>
      </c>
      <c r="AH66" s="315" t="b">
        <f t="shared" si="31"/>
        <v>0</v>
      </c>
      <c r="AI66" s="315" t="b">
        <f t="shared" si="32"/>
        <v>0</v>
      </c>
      <c r="AJ66" s="315" t="b">
        <f t="shared" si="33"/>
        <v>0</v>
      </c>
      <c r="AK66" s="315" t="b">
        <f t="shared" si="34"/>
        <v>0</v>
      </c>
      <c r="AL66" s="809">
        <f t="shared" si="35"/>
        <v>1</v>
      </c>
      <c r="AM66" s="810">
        <f t="shared" si="36"/>
        <v>1</v>
      </c>
      <c r="AN66" s="810">
        <f t="shared" si="37"/>
        <v>1</v>
      </c>
      <c r="AO66" s="810">
        <f t="shared" si="38"/>
        <v>1</v>
      </c>
      <c r="AP66" s="810">
        <f t="shared" si="39"/>
        <v>1</v>
      </c>
      <c r="AQ66" s="810">
        <f t="shared" si="40"/>
        <v>1</v>
      </c>
      <c r="AR66" s="810">
        <f t="shared" si="41"/>
        <v>1</v>
      </c>
      <c r="AS66" s="810">
        <f t="shared" si="42"/>
        <v>1</v>
      </c>
      <c r="AT66" s="810">
        <f t="shared" si="43"/>
        <v>1</v>
      </c>
      <c r="AU66" s="810">
        <f t="shared" si="44"/>
        <v>1</v>
      </c>
      <c r="AV66" s="810">
        <f t="shared" si="45"/>
        <v>1</v>
      </c>
      <c r="AW66" s="814">
        <f t="shared" si="45"/>
        <v>1</v>
      </c>
    </row>
    <row r="67" spans="1:49">
      <c r="A67" s="794" t="str">
        <f t="shared" si="91"/>
        <v>Ca 1,</v>
      </c>
      <c r="B67" s="314" t="s">
        <v>460</v>
      </c>
      <c r="C67" s="314" t="str">
        <f t="shared" si="69"/>
        <v/>
      </c>
      <c r="D67" s="314" t="str">
        <f t="shared" si="70"/>
        <v/>
      </c>
      <c r="E67" s="314" t="str">
        <f t="shared" si="71"/>
        <v/>
      </c>
      <c r="F67" s="314" t="str">
        <f t="shared" si="72"/>
        <v/>
      </c>
      <c r="G67" s="783" t="str">
        <f t="shared" si="73"/>
        <v/>
      </c>
      <c r="H67" s="783" t="str">
        <f t="shared" si="74"/>
        <v/>
      </c>
      <c r="I67" s="788" t="str">
        <f t="shared" si="75"/>
        <v/>
      </c>
      <c r="J67" s="783" t="str">
        <f t="shared" si="76"/>
        <v/>
      </c>
      <c r="K67" s="783" t="str">
        <f t="shared" si="77"/>
        <v/>
      </c>
      <c r="L67" s="788" t="str">
        <f t="shared" si="78"/>
        <v/>
      </c>
      <c r="M67" s="783" t="str">
        <f t="shared" si="79"/>
        <v/>
      </c>
      <c r="N67" s="783" t="str">
        <f t="shared" si="80"/>
        <v/>
      </c>
      <c r="O67" s="788" t="str">
        <f t="shared" si="81"/>
        <v/>
      </c>
      <c r="P67" s="783" t="str">
        <f t="shared" si="82"/>
        <v/>
      </c>
      <c r="Q67" s="783" t="str">
        <f t="shared" si="83"/>
        <v/>
      </c>
      <c r="R67" s="788" t="str">
        <f t="shared" si="84"/>
        <v/>
      </c>
      <c r="S67" s="783" t="str">
        <f t="shared" si="85"/>
        <v/>
      </c>
      <c r="T67" s="776" t="str">
        <f t="shared" si="86"/>
        <v/>
      </c>
      <c r="U67" s="777" t="str">
        <f t="shared" si="87"/>
        <v/>
      </c>
      <c r="V67" s="783" t="str">
        <f t="shared" si="88"/>
        <v/>
      </c>
      <c r="W67" s="776" t="str">
        <f t="shared" si="89"/>
        <v/>
      </c>
      <c r="X67" s="777" t="str">
        <f t="shared" si="90"/>
        <v/>
      </c>
      <c r="Z67" s="315" t="b">
        <f t="shared" si="23"/>
        <v>0</v>
      </c>
      <c r="AA67" s="315" t="b">
        <f t="shared" si="24"/>
        <v>0</v>
      </c>
      <c r="AB67" s="315" t="b">
        <f t="shared" si="25"/>
        <v>0</v>
      </c>
      <c r="AC67" s="315" t="b">
        <f t="shared" si="26"/>
        <v>0</v>
      </c>
      <c r="AD67" s="315" t="b">
        <f t="shared" si="27"/>
        <v>0</v>
      </c>
      <c r="AE67" s="315" t="b">
        <f t="shared" si="28"/>
        <v>0</v>
      </c>
      <c r="AF67" s="315" t="b">
        <f t="shared" si="29"/>
        <v>0</v>
      </c>
      <c r="AG67" s="315" t="b">
        <f t="shared" si="30"/>
        <v>0</v>
      </c>
      <c r="AH67" s="315" t="b">
        <f t="shared" si="31"/>
        <v>0</v>
      </c>
      <c r="AI67" s="315" t="b">
        <f t="shared" si="32"/>
        <v>0</v>
      </c>
      <c r="AJ67" s="315" t="b">
        <f t="shared" si="33"/>
        <v>0</v>
      </c>
      <c r="AK67" s="315" t="b">
        <f t="shared" si="34"/>
        <v>0</v>
      </c>
      <c r="AL67" s="809">
        <f t="shared" si="35"/>
        <v>1</v>
      </c>
      <c r="AM67" s="810">
        <f t="shared" si="36"/>
        <v>1</v>
      </c>
      <c r="AN67" s="810">
        <f t="shared" si="37"/>
        <v>1</v>
      </c>
      <c r="AO67" s="810">
        <f t="shared" si="38"/>
        <v>1</v>
      </c>
      <c r="AP67" s="810">
        <f t="shared" si="39"/>
        <v>1</v>
      </c>
      <c r="AQ67" s="810">
        <f t="shared" si="40"/>
        <v>1</v>
      </c>
      <c r="AR67" s="810">
        <f t="shared" si="41"/>
        <v>1</v>
      </c>
      <c r="AS67" s="810">
        <f t="shared" si="42"/>
        <v>1</v>
      </c>
      <c r="AT67" s="810">
        <f t="shared" si="43"/>
        <v>1</v>
      </c>
      <c r="AU67" s="810">
        <f t="shared" si="44"/>
        <v>1</v>
      </c>
      <c r="AV67" s="810">
        <f t="shared" si="45"/>
        <v>1</v>
      </c>
      <c r="AW67" s="814">
        <f t="shared" si="45"/>
        <v>1</v>
      </c>
    </row>
    <row r="68" spans="1:49">
      <c r="A68" s="794" t="str">
        <f t="shared" si="91"/>
        <v>Ca 1,</v>
      </c>
      <c r="B68" s="314" t="s">
        <v>461</v>
      </c>
      <c r="C68" s="314" t="str">
        <f t="shared" si="69"/>
        <v/>
      </c>
      <c r="D68" s="314" t="str">
        <f t="shared" si="70"/>
        <v/>
      </c>
      <c r="E68" s="314" t="str">
        <f t="shared" si="71"/>
        <v/>
      </c>
      <c r="F68" s="314" t="str">
        <f t="shared" si="72"/>
        <v/>
      </c>
      <c r="G68" s="783" t="str">
        <f t="shared" si="73"/>
        <v/>
      </c>
      <c r="H68" s="783" t="str">
        <f t="shared" si="74"/>
        <v/>
      </c>
      <c r="I68" s="788" t="str">
        <f t="shared" si="75"/>
        <v/>
      </c>
      <c r="J68" s="783" t="str">
        <f t="shared" si="76"/>
        <v/>
      </c>
      <c r="K68" s="783" t="str">
        <f t="shared" si="77"/>
        <v/>
      </c>
      <c r="L68" s="788" t="str">
        <f t="shared" si="78"/>
        <v/>
      </c>
      <c r="M68" s="783" t="str">
        <f t="shared" si="79"/>
        <v/>
      </c>
      <c r="N68" s="783" t="str">
        <f t="shared" si="80"/>
        <v/>
      </c>
      <c r="O68" s="788" t="str">
        <f t="shared" si="81"/>
        <v/>
      </c>
      <c r="P68" s="783" t="str">
        <f t="shared" si="82"/>
        <v/>
      </c>
      <c r="Q68" s="783" t="str">
        <f t="shared" si="83"/>
        <v/>
      </c>
      <c r="R68" s="788" t="str">
        <f t="shared" si="84"/>
        <v/>
      </c>
      <c r="S68" s="783" t="str">
        <f t="shared" si="85"/>
        <v/>
      </c>
      <c r="T68" s="776" t="str">
        <f t="shared" si="86"/>
        <v/>
      </c>
      <c r="U68" s="777" t="str">
        <f t="shared" si="87"/>
        <v/>
      </c>
      <c r="V68" s="783" t="str">
        <f t="shared" si="88"/>
        <v/>
      </c>
      <c r="W68" s="776" t="str">
        <f t="shared" si="89"/>
        <v/>
      </c>
      <c r="X68" s="777" t="str">
        <f t="shared" si="90"/>
        <v/>
      </c>
      <c r="Z68" s="315" t="b">
        <f t="shared" si="23"/>
        <v>0</v>
      </c>
      <c r="AA68" s="315" t="b">
        <f t="shared" si="24"/>
        <v>0</v>
      </c>
      <c r="AB68" s="315" t="b">
        <f t="shared" si="25"/>
        <v>0</v>
      </c>
      <c r="AC68" s="315" t="b">
        <f t="shared" si="26"/>
        <v>0</v>
      </c>
      <c r="AD68" s="315" t="b">
        <f t="shared" si="27"/>
        <v>0</v>
      </c>
      <c r="AE68" s="315" t="b">
        <f t="shared" si="28"/>
        <v>0</v>
      </c>
      <c r="AF68" s="315" t="b">
        <f t="shared" si="29"/>
        <v>0</v>
      </c>
      <c r="AG68" s="315" t="b">
        <f t="shared" si="30"/>
        <v>0</v>
      </c>
      <c r="AH68" s="315" t="b">
        <f t="shared" si="31"/>
        <v>0</v>
      </c>
      <c r="AI68" s="315" t="b">
        <f t="shared" si="32"/>
        <v>0</v>
      </c>
      <c r="AJ68" s="315" t="b">
        <f t="shared" si="33"/>
        <v>0</v>
      </c>
      <c r="AK68" s="315" t="b">
        <f t="shared" si="34"/>
        <v>0</v>
      </c>
      <c r="AL68" s="809">
        <f t="shared" si="35"/>
        <v>1</v>
      </c>
      <c r="AM68" s="810">
        <f t="shared" si="36"/>
        <v>1</v>
      </c>
      <c r="AN68" s="810">
        <f t="shared" si="37"/>
        <v>1</v>
      </c>
      <c r="AO68" s="810">
        <f t="shared" si="38"/>
        <v>1</v>
      </c>
      <c r="AP68" s="810">
        <f t="shared" si="39"/>
        <v>1</v>
      </c>
      <c r="AQ68" s="810">
        <f t="shared" si="40"/>
        <v>1</v>
      </c>
      <c r="AR68" s="810">
        <f t="shared" si="41"/>
        <v>1</v>
      </c>
      <c r="AS68" s="810">
        <f t="shared" si="42"/>
        <v>1</v>
      </c>
      <c r="AT68" s="810">
        <f t="shared" si="43"/>
        <v>1</v>
      </c>
      <c r="AU68" s="810">
        <f t="shared" si="44"/>
        <v>1</v>
      </c>
      <c r="AV68" s="810">
        <f t="shared" si="45"/>
        <v>1</v>
      </c>
      <c r="AW68" s="814">
        <f t="shared" si="45"/>
        <v>1</v>
      </c>
    </row>
    <row r="69" spans="1:49">
      <c r="A69" s="794" t="str">
        <f t="shared" si="91"/>
        <v>Ca 1,</v>
      </c>
      <c r="B69" s="314" t="s">
        <v>462</v>
      </c>
      <c r="C69" s="314" t="str">
        <f t="shared" si="69"/>
        <v/>
      </c>
      <c r="D69" s="314" t="str">
        <f t="shared" si="70"/>
        <v/>
      </c>
      <c r="E69" s="314" t="str">
        <f t="shared" si="71"/>
        <v/>
      </c>
      <c r="F69" s="314" t="str">
        <f t="shared" si="72"/>
        <v/>
      </c>
      <c r="G69" s="783" t="str">
        <f t="shared" si="73"/>
        <v/>
      </c>
      <c r="H69" s="783" t="str">
        <f t="shared" si="74"/>
        <v/>
      </c>
      <c r="I69" s="788" t="str">
        <f t="shared" si="75"/>
        <v/>
      </c>
      <c r="J69" s="783" t="str">
        <f t="shared" si="76"/>
        <v/>
      </c>
      <c r="K69" s="783" t="str">
        <f t="shared" si="77"/>
        <v/>
      </c>
      <c r="L69" s="788" t="str">
        <f t="shared" si="78"/>
        <v/>
      </c>
      <c r="M69" s="783" t="str">
        <f t="shared" si="79"/>
        <v/>
      </c>
      <c r="N69" s="783" t="str">
        <f t="shared" si="80"/>
        <v/>
      </c>
      <c r="O69" s="788" t="str">
        <f t="shared" si="81"/>
        <v/>
      </c>
      <c r="P69" s="783" t="str">
        <f t="shared" si="82"/>
        <v/>
      </c>
      <c r="Q69" s="783" t="str">
        <f t="shared" si="83"/>
        <v/>
      </c>
      <c r="R69" s="788" t="str">
        <f t="shared" si="84"/>
        <v/>
      </c>
      <c r="S69" s="783" t="str">
        <f t="shared" si="85"/>
        <v/>
      </c>
      <c r="T69" s="776" t="str">
        <f t="shared" si="86"/>
        <v/>
      </c>
      <c r="U69" s="777" t="str">
        <f t="shared" si="87"/>
        <v/>
      </c>
      <c r="V69" s="783" t="str">
        <f t="shared" si="88"/>
        <v/>
      </c>
      <c r="W69" s="776" t="str">
        <f t="shared" si="89"/>
        <v/>
      </c>
      <c r="X69" s="777" t="str">
        <f t="shared" si="90"/>
        <v/>
      </c>
      <c r="Z69" s="315" t="b">
        <f t="shared" ref="Z69:Z99" si="92">ISNUMBER(G69)</f>
        <v>0</v>
      </c>
      <c r="AA69" s="315" t="b">
        <f t="shared" ref="AA69:AA99" si="93">ISNUMBER(H69)</f>
        <v>0</v>
      </c>
      <c r="AB69" s="315" t="b">
        <f t="shared" ref="AB69:AB99" si="94">ISNUMBER(J69)</f>
        <v>0</v>
      </c>
      <c r="AC69" s="315" t="b">
        <f t="shared" ref="AC69:AC99" si="95">ISNUMBER(K69)</f>
        <v>0</v>
      </c>
      <c r="AD69" s="315" t="b">
        <f t="shared" ref="AD69:AD99" si="96">ISNUMBER(M69)</f>
        <v>0</v>
      </c>
      <c r="AE69" s="315" t="b">
        <f t="shared" ref="AE69:AE99" si="97">ISNUMBER(N69)</f>
        <v>0</v>
      </c>
      <c r="AF69" s="315" t="b">
        <f t="shared" ref="AF69:AF99" si="98">ISNUMBER(P69)</f>
        <v>0</v>
      </c>
      <c r="AG69" s="315" t="b">
        <f t="shared" ref="AG69:AG99" si="99">ISNUMBER(Q69)</f>
        <v>0</v>
      </c>
      <c r="AH69" s="315" t="b">
        <f t="shared" ref="AH69:AH99" si="100">ISNUMBER(S69)</f>
        <v>0</v>
      </c>
      <c r="AI69" s="315" t="b">
        <f t="shared" ref="AI69:AI99" si="101">ISNUMBER(T69)</f>
        <v>0</v>
      </c>
      <c r="AJ69" s="315" t="b">
        <f t="shared" ref="AJ69:AJ99" si="102">ISNUMBER(V69)</f>
        <v>0</v>
      </c>
      <c r="AK69" s="315" t="b">
        <f t="shared" ref="AK69:AK99" si="103">ISNUMBER(W69)</f>
        <v>0</v>
      </c>
      <c r="AL69" s="809">
        <f t="shared" ref="AL69:AL99" si="104">IF(Z69=TRUE,"",1)</f>
        <v>1</v>
      </c>
      <c r="AM69" s="810">
        <f t="shared" ref="AM69:AM99" si="105">IF(AA69=TRUE,"",1)</f>
        <v>1</v>
      </c>
      <c r="AN69" s="810">
        <f t="shared" ref="AN69:AN99" si="106">IF(AB69=TRUE,"",1)</f>
        <v>1</v>
      </c>
      <c r="AO69" s="810">
        <f t="shared" ref="AO69:AO99" si="107">IF(AC69=TRUE,"",1)</f>
        <v>1</v>
      </c>
      <c r="AP69" s="810">
        <f t="shared" ref="AP69:AP99" si="108">IF(AD69=TRUE,"",1)</f>
        <v>1</v>
      </c>
      <c r="AQ69" s="810">
        <f t="shared" ref="AQ69:AQ99" si="109">IF(AE69=TRUE,"",1)</f>
        <v>1</v>
      </c>
      <c r="AR69" s="810">
        <f t="shared" ref="AR69:AR99" si="110">IF(AF69=TRUE,"",1)</f>
        <v>1</v>
      </c>
      <c r="AS69" s="810">
        <f t="shared" ref="AS69:AS99" si="111">IF(AG69=TRUE,"",1)</f>
        <v>1</v>
      </c>
      <c r="AT69" s="810">
        <f t="shared" ref="AT69:AT99" si="112">IF(AH69=TRUE,"",1)</f>
        <v>1</v>
      </c>
      <c r="AU69" s="810">
        <f t="shared" ref="AU69:AU99" si="113">IF(AI69=TRUE,"",1)</f>
        <v>1</v>
      </c>
      <c r="AV69" s="810">
        <f t="shared" ref="AV69:AW99" si="114">IF(AJ69=TRUE,"",1)</f>
        <v>1</v>
      </c>
      <c r="AW69" s="814">
        <f t="shared" si="114"/>
        <v>1</v>
      </c>
    </row>
    <row r="70" spans="1:49">
      <c r="A70" s="794" t="str">
        <f t="shared" si="91"/>
        <v>Ca 1,</v>
      </c>
      <c r="B70" s="314" t="s">
        <v>463</v>
      </c>
      <c r="C70" s="314" t="str">
        <f t="shared" si="69"/>
        <v/>
      </c>
      <c r="D70" s="314" t="str">
        <f t="shared" si="70"/>
        <v/>
      </c>
      <c r="E70" s="314" t="str">
        <f t="shared" si="71"/>
        <v/>
      </c>
      <c r="F70" s="314" t="str">
        <f t="shared" si="72"/>
        <v/>
      </c>
      <c r="G70" s="783" t="str">
        <f t="shared" si="73"/>
        <v/>
      </c>
      <c r="H70" s="783" t="str">
        <f t="shared" si="74"/>
        <v/>
      </c>
      <c r="I70" s="788" t="str">
        <f t="shared" si="75"/>
        <v/>
      </c>
      <c r="J70" s="783" t="str">
        <f t="shared" si="76"/>
        <v/>
      </c>
      <c r="K70" s="783" t="str">
        <f t="shared" si="77"/>
        <v/>
      </c>
      <c r="L70" s="788" t="str">
        <f t="shared" si="78"/>
        <v/>
      </c>
      <c r="M70" s="783" t="str">
        <f t="shared" si="79"/>
        <v/>
      </c>
      <c r="N70" s="783" t="str">
        <f t="shared" si="80"/>
        <v/>
      </c>
      <c r="O70" s="788" t="str">
        <f t="shared" si="81"/>
        <v/>
      </c>
      <c r="P70" s="783" t="str">
        <f t="shared" si="82"/>
        <v/>
      </c>
      <c r="Q70" s="783" t="str">
        <f t="shared" si="83"/>
        <v/>
      </c>
      <c r="R70" s="788" t="str">
        <f t="shared" si="84"/>
        <v/>
      </c>
      <c r="S70" s="783" t="str">
        <f t="shared" si="85"/>
        <v/>
      </c>
      <c r="T70" s="776" t="str">
        <f t="shared" si="86"/>
        <v/>
      </c>
      <c r="U70" s="777" t="str">
        <f t="shared" si="87"/>
        <v/>
      </c>
      <c r="V70" s="783" t="str">
        <f t="shared" si="88"/>
        <v/>
      </c>
      <c r="W70" s="776" t="str">
        <f t="shared" si="89"/>
        <v/>
      </c>
      <c r="X70" s="777" t="str">
        <f t="shared" si="90"/>
        <v/>
      </c>
      <c r="Z70" s="315" t="b">
        <f t="shared" si="92"/>
        <v>0</v>
      </c>
      <c r="AA70" s="315" t="b">
        <f t="shared" si="93"/>
        <v>0</v>
      </c>
      <c r="AB70" s="315" t="b">
        <f t="shared" si="94"/>
        <v>0</v>
      </c>
      <c r="AC70" s="315" t="b">
        <f t="shared" si="95"/>
        <v>0</v>
      </c>
      <c r="AD70" s="315" t="b">
        <f t="shared" si="96"/>
        <v>0</v>
      </c>
      <c r="AE70" s="315" t="b">
        <f t="shared" si="97"/>
        <v>0</v>
      </c>
      <c r="AF70" s="315" t="b">
        <f t="shared" si="98"/>
        <v>0</v>
      </c>
      <c r="AG70" s="315" t="b">
        <f t="shared" si="99"/>
        <v>0</v>
      </c>
      <c r="AH70" s="315" t="b">
        <f t="shared" si="100"/>
        <v>0</v>
      </c>
      <c r="AI70" s="315" t="b">
        <f t="shared" si="101"/>
        <v>0</v>
      </c>
      <c r="AJ70" s="315" t="b">
        <f t="shared" si="102"/>
        <v>0</v>
      </c>
      <c r="AK70" s="315" t="b">
        <f t="shared" si="103"/>
        <v>0</v>
      </c>
      <c r="AL70" s="809">
        <f t="shared" si="104"/>
        <v>1</v>
      </c>
      <c r="AM70" s="810">
        <f t="shared" si="105"/>
        <v>1</v>
      </c>
      <c r="AN70" s="810">
        <f t="shared" si="106"/>
        <v>1</v>
      </c>
      <c r="AO70" s="810">
        <f t="shared" si="107"/>
        <v>1</v>
      </c>
      <c r="AP70" s="810">
        <f t="shared" si="108"/>
        <v>1</v>
      </c>
      <c r="AQ70" s="810">
        <f t="shared" si="109"/>
        <v>1</v>
      </c>
      <c r="AR70" s="810">
        <f t="shared" si="110"/>
        <v>1</v>
      </c>
      <c r="AS70" s="810">
        <f t="shared" si="111"/>
        <v>1</v>
      </c>
      <c r="AT70" s="810">
        <f t="shared" si="112"/>
        <v>1</v>
      </c>
      <c r="AU70" s="810">
        <f t="shared" si="113"/>
        <v>1</v>
      </c>
      <c r="AV70" s="810">
        <f t="shared" si="114"/>
        <v>1</v>
      </c>
      <c r="AW70" s="814">
        <f t="shared" si="114"/>
        <v>1</v>
      </c>
    </row>
    <row r="71" spans="1:49">
      <c r="A71" s="794" t="str">
        <f t="shared" si="91"/>
        <v>Ca 1,</v>
      </c>
      <c r="B71" s="314" t="s">
        <v>464</v>
      </c>
      <c r="C71" s="314" t="str">
        <f t="shared" si="69"/>
        <v/>
      </c>
      <c r="D71" s="314" t="str">
        <f t="shared" si="70"/>
        <v/>
      </c>
      <c r="E71" s="314" t="str">
        <f t="shared" si="71"/>
        <v/>
      </c>
      <c r="F71" s="314" t="str">
        <f t="shared" si="72"/>
        <v/>
      </c>
      <c r="G71" s="783" t="str">
        <f t="shared" si="73"/>
        <v/>
      </c>
      <c r="H71" s="783" t="str">
        <f t="shared" si="74"/>
        <v/>
      </c>
      <c r="I71" s="788" t="str">
        <f t="shared" si="75"/>
        <v/>
      </c>
      <c r="J71" s="783" t="str">
        <f t="shared" si="76"/>
        <v/>
      </c>
      <c r="K71" s="783" t="str">
        <f t="shared" si="77"/>
        <v/>
      </c>
      <c r="L71" s="788" t="str">
        <f t="shared" si="78"/>
        <v/>
      </c>
      <c r="M71" s="783" t="str">
        <f t="shared" si="79"/>
        <v/>
      </c>
      <c r="N71" s="783" t="str">
        <f t="shared" si="80"/>
        <v/>
      </c>
      <c r="O71" s="788" t="str">
        <f t="shared" si="81"/>
        <v/>
      </c>
      <c r="P71" s="783" t="str">
        <f t="shared" si="82"/>
        <v/>
      </c>
      <c r="Q71" s="783" t="str">
        <f t="shared" si="83"/>
        <v/>
      </c>
      <c r="R71" s="788" t="str">
        <f t="shared" si="84"/>
        <v/>
      </c>
      <c r="S71" s="783" t="str">
        <f t="shared" si="85"/>
        <v/>
      </c>
      <c r="T71" s="776" t="str">
        <f t="shared" si="86"/>
        <v/>
      </c>
      <c r="U71" s="777" t="str">
        <f t="shared" si="87"/>
        <v/>
      </c>
      <c r="V71" s="783" t="str">
        <f t="shared" si="88"/>
        <v/>
      </c>
      <c r="W71" s="776" t="str">
        <f t="shared" si="89"/>
        <v/>
      </c>
      <c r="X71" s="777" t="str">
        <f t="shared" si="90"/>
        <v/>
      </c>
      <c r="Z71" s="315" t="b">
        <f t="shared" si="92"/>
        <v>0</v>
      </c>
      <c r="AA71" s="315" t="b">
        <f t="shared" si="93"/>
        <v>0</v>
      </c>
      <c r="AB71" s="315" t="b">
        <f t="shared" si="94"/>
        <v>0</v>
      </c>
      <c r="AC71" s="315" t="b">
        <f t="shared" si="95"/>
        <v>0</v>
      </c>
      <c r="AD71" s="315" t="b">
        <f t="shared" si="96"/>
        <v>0</v>
      </c>
      <c r="AE71" s="315" t="b">
        <f t="shared" si="97"/>
        <v>0</v>
      </c>
      <c r="AF71" s="315" t="b">
        <f t="shared" si="98"/>
        <v>0</v>
      </c>
      <c r="AG71" s="315" t="b">
        <f t="shared" si="99"/>
        <v>0</v>
      </c>
      <c r="AH71" s="315" t="b">
        <f t="shared" si="100"/>
        <v>0</v>
      </c>
      <c r="AI71" s="315" t="b">
        <f t="shared" si="101"/>
        <v>0</v>
      </c>
      <c r="AJ71" s="315" t="b">
        <f t="shared" si="102"/>
        <v>0</v>
      </c>
      <c r="AK71" s="315" t="b">
        <f t="shared" si="103"/>
        <v>0</v>
      </c>
      <c r="AL71" s="809">
        <f t="shared" si="104"/>
        <v>1</v>
      </c>
      <c r="AM71" s="810">
        <f t="shared" si="105"/>
        <v>1</v>
      </c>
      <c r="AN71" s="810">
        <f t="shared" si="106"/>
        <v>1</v>
      </c>
      <c r="AO71" s="810">
        <f t="shared" si="107"/>
        <v>1</v>
      </c>
      <c r="AP71" s="810">
        <f t="shared" si="108"/>
        <v>1</v>
      </c>
      <c r="AQ71" s="810">
        <f t="shared" si="109"/>
        <v>1</v>
      </c>
      <c r="AR71" s="810">
        <f t="shared" si="110"/>
        <v>1</v>
      </c>
      <c r="AS71" s="810">
        <f t="shared" si="111"/>
        <v>1</v>
      </c>
      <c r="AT71" s="810">
        <f t="shared" si="112"/>
        <v>1</v>
      </c>
      <c r="AU71" s="810">
        <f t="shared" si="113"/>
        <v>1</v>
      </c>
      <c r="AV71" s="810">
        <f t="shared" si="114"/>
        <v>1</v>
      </c>
      <c r="AW71" s="814">
        <f t="shared" si="114"/>
        <v>1</v>
      </c>
    </row>
    <row r="72" spans="1:49">
      <c r="A72" s="794" t="str">
        <f t="shared" si="91"/>
        <v>Ca 1,</v>
      </c>
      <c r="B72" s="314" t="s">
        <v>465</v>
      </c>
      <c r="C72" s="314" t="str">
        <f t="shared" si="69"/>
        <v/>
      </c>
      <c r="D72" s="314" t="str">
        <f t="shared" si="70"/>
        <v/>
      </c>
      <c r="E72" s="314" t="str">
        <f t="shared" si="71"/>
        <v/>
      </c>
      <c r="F72" s="314" t="str">
        <f t="shared" si="72"/>
        <v/>
      </c>
      <c r="G72" s="783" t="str">
        <f t="shared" si="73"/>
        <v/>
      </c>
      <c r="H72" s="783" t="str">
        <f t="shared" si="74"/>
        <v/>
      </c>
      <c r="I72" s="788" t="str">
        <f t="shared" si="75"/>
        <v/>
      </c>
      <c r="J72" s="783" t="str">
        <f t="shared" si="76"/>
        <v/>
      </c>
      <c r="K72" s="783" t="str">
        <f t="shared" si="77"/>
        <v/>
      </c>
      <c r="L72" s="788" t="str">
        <f t="shared" si="78"/>
        <v/>
      </c>
      <c r="M72" s="783" t="str">
        <f t="shared" si="79"/>
        <v/>
      </c>
      <c r="N72" s="783" t="str">
        <f t="shared" si="80"/>
        <v/>
      </c>
      <c r="O72" s="788" t="str">
        <f t="shared" si="81"/>
        <v/>
      </c>
      <c r="P72" s="783" t="str">
        <f t="shared" si="82"/>
        <v/>
      </c>
      <c r="Q72" s="783" t="str">
        <f t="shared" si="83"/>
        <v/>
      </c>
      <c r="R72" s="788" t="str">
        <f t="shared" si="84"/>
        <v/>
      </c>
      <c r="S72" s="783" t="str">
        <f t="shared" si="85"/>
        <v/>
      </c>
      <c r="T72" s="776" t="str">
        <f t="shared" si="86"/>
        <v/>
      </c>
      <c r="U72" s="777" t="str">
        <f t="shared" si="87"/>
        <v/>
      </c>
      <c r="V72" s="783" t="str">
        <f t="shared" si="88"/>
        <v/>
      </c>
      <c r="W72" s="776" t="str">
        <f t="shared" si="89"/>
        <v/>
      </c>
      <c r="X72" s="777" t="str">
        <f t="shared" si="90"/>
        <v/>
      </c>
      <c r="Z72" s="315" t="b">
        <f t="shared" si="92"/>
        <v>0</v>
      </c>
      <c r="AA72" s="315" t="b">
        <f t="shared" si="93"/>
        <v>0</v>
      </c>
      <c r="AB72" s="315" t="b">
        <f t="shared" si="94"/>
        <v>0</v>
      </c>
      <c r="AC72" s="315" t="b">
        <f t="shared" si="95"/>
        <v>0</v>
      </c>
      <c r="AD72" s="315" t="b">
        <f t="shared" si="96"/>
        <v>0</v>
      </c>
      <c r="AE72" s="315" t="b">
        <f t="shared" si="97"/>
        <v>0</v>
      </c>
      <c r="AF72" s="315" t="b">
        <f t="shared" si="98"/>
        <v>0</v>
      </c>
      <c r="AG72" s="315" t="b">
        <f t="shared" si="99"/>
        <v>0</v>
      </c>
      <c r="AH72" s="315" t="b">
        <f t="shared" si="100"/>
        <v>0</v>
      </c>
      <c r="AI72" s="315" t="b">
        <f t="shared" si="101"/>
        <v>0</v>
      </c>
      <c r="AJ72" s="315" t="b">
        <f t="shared" si="102"/>
        <v>0</v>
      </c>
      <c r="AK72" s="315" t="b">
        <f t="shared" si="103"/>
        <v>0</v>
      </c>
      <c r="AL72" s="809">
        <f t="shared" si="104"/>
        <v>1</v>
      </c>
      <c r="AM72" s="810">
        <f t="shared" si="105"/>
        <v>1</v>
      </c>
      <c r="AN72" s="810">
        <f t="shared" si="106"/>
        <v>1</v>
      </c>
      <c r="AO72" s="810">
        <f t="shared" si="107"/>
        <v>1</v>
      </c>
      <c r="AP72" s="810">
        <f t="shared" si="108"/>
        <v>1</v>
      </c>
      <c r="AQ72" s="810">
        <f t="shared" si="109"/>
        <v>1</v>
      </c>
      <c r="AR72" s="810">
        <f t="shared" si="110"/>
        <v>1</v>
      </c>
      <c r="AS72" s="810">
        <f t="shared" si="111"/>
        <v>1</v>
      </c>
      <c r="AT72" s="810">
        <f t="shared" si="112"/>
        <v>1</v>
      </c>
      <c r="AU72" s="810">
        <f t="shared" si="113"/>
        <v>1</v>
      </c>
      <c r="AV72" s="810">
        <f t="shared" si="114"/>
        <v>1</v>
      </c>
      <c r="AW72" s="814">
        <f t="shared" si="114"/>
        <v>1</v>
      </c>
    </row>
    <row r="73" spans="1:49">
      <c r="A73" s="794" t="str">
        <f t="shared" si="91"/>
        <v>Ca 1,</v>
      </c>
      <c r="B73" s="314" t="s">
        <v>470</v>
      </c>
      <c r="C73" s="314" t="str">
        <f t="shared" si="69"/>
        <v>Xà bông 1
預脫脂</v>
      </c>
      <c r="D73" s="314" t="str">
        <f t="shared" si="70"/>
        <v>XD-000A</v>
      </c>
      <c r="E73" s="314" t="str">
        <f t="shared" si="71"/>
        <v>g/L</v>
      </c>
      <c r="F73" s="314" t="str">
        <f t="shared" si="72"/>
        <v>10~20
 (15)</v>
      </c>
      <c r="G73" s="783">
        <f t="shared" si="73"/>
        <v>20.3</v>
      </c>
      <c r="H73" s="783">
        <f t="shared" si="74"/>
        <v>0</v>
      </c>
      <c r="I73" s="788" t="str">
        <f t="shared" si="75"/>
        <v>kg</v>
      </c>
      <c r="J73" s="783">
        <f t="shared" si="76"/>
        <v>0</v>
      </c>
      <c r="K73" s="783">
        <f t="shared" si="77"/>
        <v>0</v>
      </c>
      <c r="L73" s="788" t="str">
        <f t="shared" si="78"/>
        <v>kg</v>
      </c>
      <c r="M73" s="783">
        <f t="shared" si="79"/>
        <v>0</v>
      </c>
      <c r="N73" s="783">
        <f t="shared" si="80"/>
        <v>0</v>
      </c>
      <c r="O73" s="788" t="str">
        <f t="shared" si="81"/>
        <v>kg</v>
      </c>
      <c r="P73" s="783">
        <f t="shared" si="82"/>
        <v>0</v>
      </c>
      <c r="Q73" s="783">
        <f t="shared" si="83"/>
        <v>0</v>
      </c>
      <c r="R73" s="788" t="str">
        <f t="shared" si="84"/>
        <v>kg</v>
      </c>
      <c r="S73" s="783">
        <f t="shared" si="85"/>
        <v>0</v>
      </c>
      <c r="T73" s="776">
        <f t="shared" si="86"/>
        <v>0</v>
      </c>
      <c r="U73" s="777">
        <f t="shared" si="87"/>
        <v>0</v>
      </c>
      <c r="V73" s="783">
        <f t="shared" si="88"/>
        <v>0</v>
      </c>
      <c r="W73" s="776">
        <f t="shared" si="89"/>
        <v>0</v>
      </c>
      <c r="X73" s="777">
        <f t="shared" si="90"/>
        <v>0</v>
      </c>
      <c r="Z73" s="315" t="b">
        <f t="shared" si="92"/>
        <v>1</v>
      </c>
      <c r="AA73" s="315" t="b">
        <f t="shared" si="93"/>
        <v>1</v>
      </c>
      <c r="AB73" s="315" t="b">
        <f t="shared" si="94"/>
        <v>1</v>
      </c>
      <c r="AC73" s="315" t="b">
        <f t="shared" si="95"/>
        <v>1</v>
      </c>
      <c r="AD73" s="315" t="b">
        <f t="shared" si="96"/>
        <v>1</v>
      </c>
      <c r="AE73" s="315" t="b">
        <f t="shared" si="97"/>
        <v>1</v>
      </c>
      <c r="AF73" s="315" t="b">
        <f t="shared" si="98"/>
        <v>1</v>
      </c>
      <c r="AG73" s="315" t="b">
        <f t="shared" si="99"/>
        <v>1</v>
      </c>
      <c r="AH73" s="315" t="b">
        <f t="shared" si="100"/>
        <v>1</v>
      </c>
      <c r="AI73" s="315" t="b">
        <f t="shared" si="101"/>
        <v>1</v>
      </c>
      <c r="AJ73" s="315" t="b">
        <f t="shared" si="102"/>
        <v>1</v>
      </c>
      <c r="AK73" s="315" t="b">
        <f t="shared" si="103"/>
        <v>1</v>
      </c>
      <c r="AL73" s="809" t="str">
        <f t="shared" si="104"/>
        <v/>
      </c>
      <c r="AM73" s="810" t="str">
        <f t="shared" si="105"/>
        <v/>
      </c>
      <c r="AN73" s="810" t="str">
        <f t="shared" si="106"/>
        <v/>
      </c>
      <c r="AO73" s="810" t="str">
        <f t="shared" si="107"/>
        <v/>
      </c>
      <c r="AP73" s="810" t="str">
        <f t="shared" si="108"/>
        <v/>
      </c>
      <c r="AQ73" s="810" t="str">
        <f t="shared" si="109"/>
        <v/>
      </c>
      <c r="AR73" s="810" t="str">
        <f t="shared" si="110"/>
        <v/>
      </c>
      <c r="AS73" s="810" t="str">
        <f t="shared" si="111"/>
        <v/>
      </c>
      <c r="AT73" s="810" t="str">
        <f t="shared" si="112"/>
        <v/>
      </c>
      <c r="AU73" s="810" t="str">
        <f t="shared" si="113"/>
        <v/>
      </c>
      <c r="AV73" s="810" t="str">
        <f t="shared" si="114"/>
        <v/>
      </c>
      <c r="AW73" s="814" t="str">
        <f t="shared" si="114"/>
        <v/>
      </c>
    </row>
    <row r="74" spans="1:49">
      <c r="A74" s="794" t="str">
        <f t="shared" si="91"/>
        <v>Ca 1,</v>
      </c>
      <c r="B74" s="314" t="s">
        <v>474</v>
      </c>
      <c r="C74" s="314" t="str">
        <f t="shared" si="69"/>
        <v>Xà bông 2
主脫脂</v>
      </c>
      <c r="D74" s="314" t="str">
        <f t="shared" si="70"/>
        <v>XD-000A</v>
      </c>
      <c r="E74" s="314" t="str">
        <f t="shared" si="71"/>
        <v>g/L</v>
      </c>
      <c r="F74" s="314" t="str">
        <f t="shared" si="72"/>
        <v>40~60
(50±5)</v>
      </c>
      <c r="G74" s="783">
        <f t="shared" si="73"/>
        <v>55.814</v>
      </c>
      <c r="H74" s="783">
        <f t="shared" si="74"/>
        <v>0</v>
      </c>
      <c r="I74" s="788" t="str">
        <f t="shared" si="75"/>
        <v>kg</v>
      </c>
      <c r="J74" s="783">
        <f t="shared" si="76"/>
        <v>0</v>
      </c>
      <c r="K74" s="783">
        <f t="shared" si="77"/>
        <v>0</v>
      </c>
      <c r="L74" s="788" t="str">
        <f t="shared" si="78"/>
        <v>kg</v>
      </c>
      <c r="M74" s="783">
        <f t="shared" si="79"/>
        <v>0</v>
      </c>
      <c r="N74" s="783">
        <f t="shared" si="80"/>
        <v>0</v>
      </c>
      <c r="O74" s="788" t="str">
        <f t="shared" si="81"/>
        <v>kg</v>
      </c>
      <c r="P74" s="783">
        <f t="shared" si="82"/>
        <v>0</v>
      </c>
      <c r="Q74" s="783">
        <f t="shared" si="83"/>
        <v>0</v>
      </c>
      <c r="R74" s="788" t="str">
        <f t="shared" si="84"/>
        <v>kg</v>
      </c>
      <c r="S74" s="783">
        <f t="shared" si="85"/>
        <v>0</v>
      </c>
      <c r="T74" s="776">
        <f t="shared" si="86"/>
        <v>0</v>
      </c>
      <c r="U74" s="777">
        <f t="shared" si="87"/>
        <v>0</v>
      </c>
      <c r="V74" s="783">
        <f t="shared" si="88"/>
        <v>0</v>
      </c>
      <c r="W74" s="776">
        <f t="shared" si="89"/>
        <v>0</v>
      </c>
      <c r="X74" s="777">
        <f t="shared" si="90"/>
        <v>0</v>
      </c>
      <c r="Z74" s="315" t="b">
        <f t="shared" si="92"/>
        <v>1</v>
      </c>
      <c r="AA74" s="315" t="b">
        <f t="shared" si="93"/>
        <v>1</v>
      </c>
      <c r="AB74" s="315" t="b">
        <f t="shared" si="94"/>
        <v>1</v>
      </c>
      <c r="AC74" s="315" t="b">
        <f t="shared" si="95"/>
        <v>1</v>
      </c>
      <c r="AD74" s="315" t="b">
        <f t="shared" si="96"/>
        <v>1</v>
      </c>
      <c r="AE74" s="315" t="b">
        <f t="shared" si="97"/>
        <v>1</v>
      </c>
      <c r="AF74" s="315" t="b">
        <f t="shared" si="98"/>
        <v>1</v>
      </c>
      <c r="AG74" s="315" t="b">
        <f t="shared" si="99"/>
        <v>1</v>
      </c>
      <c r="AH74" s="315" t="b">
        <f t="shared" si="100"/>
        <v>1</v>
      </c>
      <c r="AI74" s="315" t="b">
        <f t="shared" si="101"/>
        <v>1</v>
      </c>
      <c r="AJ74" s="315" t="b">
        <f t="shared" si="102"/>
        <v>1</v>
      </c>
      <c r="AK74" s="315" t="b">
        <f t="shared" si="103"/>
        <v>1</v>
      </c>
      <c r="AL74" s="809" t="str">
        <f t="shared" si="104"/>
        <v/>
      </c>
      <c r="AM74" s="810" t="str">
        <f t="shared" si="105"/>
        <v/>
      </c>
      <c r="AN74" s="810" t="str">
        <f t="shared" si="106"/>
        <v/>
      </c>
      <c r="AO74" s="810" t="str">
        <f t="shared" si="107"/>
        <v/>
      </c>
      <c r="AP74" s="810" t="str">
        <f t="shared" si="108"/>
        <v/>
      </c>
      <c r="AQ74" s="810" t="str">
        <f t="shared" si="109"/>
        <v/>
      </c>
      <c r="AR74" s="810" t="str">
        <f t="shared" si="110"/>
        <v/>
      </c>
      <c r="AS74" s="810" t="str">
        <f t="shared" si="111"/>
        <v/>
      </c>
      <c r="AT74" s="810" t="str">
        <f t="shared" si="112"/>
        <v/>
      </c>
      <c r="AU74" s="810" t="str">
        <f t="shared" si="113"/>
        <v/>
      </c>
      <c r="AV74" s="810" t="str">
        <f t="shared" si="114"/>
        <v/>
      </c>
      <c r="AW74" s="814" t="str">
        <f t="shared" si="114"/>
        <v/>
      </c>
    </row>
    <row r="75" spans="1:49">
      <c r="A75" s="794" t="str">
        <f t="shared" si="91"/>
        <v>Ca 1,</v>
      </c>
      <c r="B75" s="314" t="s">
        <v>476</v>
      </c>
      <c r="C75" s="314" t="str">
        <f t="shared" ref="C75:C99" si="115">IFERROR(VLOOKUP($B75,RLMLXD,2,0),"")</f>
        <v xml:space="preserve">Xà bông 3 (siêu âm)
超音波脫脂
</v>
      </c>
      <c r="D75" s="314" t="str">
        <f t="shared" ref="D75:D99" si="116">IFERROR(VLOOKUP($B75,RLMLXD,43,0),"")</f>
        <v>XD-000A</v>
      </c>
      <c r="E75" s="314" t="str">
        <f t="shared" ref="E75:E99" si="117">IFERROR(VLOOKUP($B75,RLMLXD,4,0),"")</f>
        <v>g/L</v>
      </c>
      <c r="F75" s="314" t="str">
        <f t="shared" ref="F75:F99" si="118">IFERROR(VLOOKUP($B75,RLMLXD,5,0),"")</f>
        <v>40~60
(50±5)</v>
      </c>
      <c r="G75" s="783">
        <f t="shared" si="73"/>
        <v>56.462999999999994</v>
      </c>
      <c r="H75" s="783">
        <f t="shared" si="74"/>
        <v>0</v>
      </c>
      <c r="I75" s="788" t="str">
        <f t="shared" si="75"/>
        <v>kg</v>
      </c>
      <c r="J75" s="783">
        <f t="shared" si="76"/>
        <v>0</v>
      </c>
      <c r="K75" s="783">
        <f t="shared" si="77"/>
        <v>0</v>
      </c>
      <c r="L75" s="788" t="str">
        <f t="shared" si="78"/>
        <v>kg</v>
      </c>
      <c r="M75" s="783">
        <f t="shared" si="79"/>
        <v>0</v>
      </c>
      <c r="N75" s="783">
        <f t="shared" si="80"/>
        <v>0</v>
      </c>
      <c r="O75" s="788" t="str">
        <f t="shared" si="81"/>
        <v>kg</v>
      </c>
      <c r="P75" s="783">
        <f t="shared" si="82"/>
        <v>0</v>
      </c>
      <c r="Q75" s="783">
        <f t="shared" si="83"/>
        <v>0</v>
      </c>
      <c r="R75" s="788" t="str">
        <f t="shared" si="84"/>
        <v>kg</v>
      </c>
      <c r="S75" s="783">
        <f t="shared" si="85"/>
        <v>0</v>
      </c>
      <c r="T75" s="776">
        <f t="shared" si="86"/>
        <v>0</v>
      </c>
      <c r="U75" s="777">
        <f t="shared" si="87"/>
        <v>0</v>
      </c>
      <c r="V75" s="783">
        <f t="shared" si="88"/>
        <v>0</v>
      </c>
      <c r="W75" s="776">
        <f t="shared" si="89"/>
        <v>0</v>
      </c>
      <c r="X75" s="777">
        <f t="shared" si="90"/>
        <v>0</v>
      </c>
      <c r="Z75" s="315" t="b">
        <f t="shared" si="92"/>
        <v>1</v>
      </c>
      <c r="AA75" s="315" t="b">
        <f t="shared" si="93"/>
        <v>1</v>
      </c>
      <c r="AB75" s="315" t="b">
        <f t="shared" si="94"/>
        <v>1</v>
      </c>
      <c r="AC75" s="315" t="b">
        <f t="shared" si="95"/>
        <v>1</v>
      </c>
      <c r="AD75" s="315" t="b">
        <f t="shared" si="96"/>
        <v>1</v>
      </c>
      <c r="AE75" s="315" t="b">
        <f t="shared" si="97"/>
        <v>1</v>
      </c>
      <c r="AF75" s="315" t="b">
        <f t="shared" si="98"/>
        <v>1</v>
      </c>
      <c r="AG75" s="315" t="b">
        <f t="shared" si="99"/>
        <v>1</v>
      </c>
      <c r="AH75" s="315" t="b">
        <f t="shared" si="100"/>
        <v>1</v>
      </c>
      <c r="AI75" s="315" t="b">
        <f t="shared" si="101"/>
        <v>1</v>
      </c>
      <c r="AJ75" s="315" t="b">
        <f t="shared" si="102"/>
        <v>1</v>
      </c>
      <c r="AK75" s="315" t="b">
        <f t="shared" si="103"/>
        <v>1</v>
      </c>
      <c r="AL75" s="809" t="str">
        <f t="shared" si="104"/>
        <v/>
      </c>
      <c r="AM75" s="810" t="str">
        <f t="shared" si="105"/>
        <v/>
      </c>
      <c r="AN75" s="810" t="str">
        <f t="shared" si="106"/>
        <v/>
      </c>
      <c r="AO75" s="810" t="str">
        <f t="shared" si="107"/>
        <v/>
      </c>
      <c r="AP75" s="810" t="str">
        <f t="shared" si="108"/>
        <v/>
      </c>
      <c r="AQ75" s="810" t="str">
        <f t="shared" si="109"/>
        <v/>
      </c>
      <c r="AR75" s="810" t="str">
        <f t="shared" si="110"/>
        <v/>
      </c>
      <c r="AS75" s="810" t="str">
        <f t="shared" si="111"/>
        <v/>
      </c>
      <c r="AT75" s="810" t="str">
        <f t="shared" si="112"/>
        <v/>
      </c>
      <c r="AU75" s="810" t="str">
        <f t="shared" si="113"/>
        <v/>
      </c>
      <c r="AV75" s="810" t="str">
        <f t="shared" si="114"/>
        <v/>
      </c>
      <c r="AW75" s="814" t="str">
        <f t="shared" si="114"/>
        <v/>
      </c>
    </row>
    <row r="76" spans="1:49">
      <c r="A76" s="794" t="str">
        <f t="shared" si="91"/>
        <v>Ca 1,</v>
      </c>
      <c r="B76" s="314" t="s">
        <v>478</v>
      </c>
      <c r="C76" s="314" t="str">
        <f t="shared" si="115"/>
        <v>Rửa acid
酸洗</v>
      </c>
      <c r="D76" s="314" t="str">
        <f t="shared" si="116"/>
        <v>XD-000A</v>
      </c>
      <c r="E76" s="314" t="str">
        <f t="shared" si="117"/>
        <v>Point</v>
      </c>
      <c r="F76" s="314" t="str">
        <f t="shared" si="118"/>
        <v>5~15
(10)</v>
      </c>
      <c r="G76" s="783">
        <f t="shared" si="73"/>
        <v>0</v>
      </c>
      <c r="H76" s="783">
        <f t="shared" si="74"/>
        <v>124.63199999999999</v>
      </c>
      <c r="I76" s="788" t="str">
        <f t="shared" si="75"/>
        <v>L</v>
      </c>
      <c r="J76" s="783">
        <f t="shared" si="76"/>
        <v>0</v>
      </c>
      <c r="K76" s="783">
        <f t="shared" si="77"/>
        <v>124.63199999999999</v>
      </c>
      <c r="L76" s="788" t="str">
        <f t="shared" si="78"/>
        <v>L</v>
      </c>
      <c r="M76" s="783">
        <f t="shared" si="79"/>
        <v>0</v>
      </c>
      <c r="N76" s="783">
        <f t="shared" si="80"/>
        <v>124.63199999999999</v>
      </c>
      <c r="O76" s="788" t="str">
        <f t="shared" si="81"/>
        <v>L</v>
      </c>
      <c r="P76" s="783">
        <f t="shared" si="82"/>
        <v>0</v>
      </c>
      <c r="Q76" s="783">
        <f t="shared" si="83"/>
        <v>124.63199999999999</v>
      </c>
      <c r="R76" s="788" t="str">
        <f t="shared" si="84"/>
        <v>L</v>
      </c>
      <c r="S76" s="783">
        <f t="shared" si="85"/>
        <v>0</v>
      </c>
      <c r="T76" s="776">
        <f t="shared" si="86"/>
        <v>0</v>
      </c>
      <c r="U76" s="777">
        <f t="shared" si="87"/>
        <v>0</v>
      </c>
      <c r="V76" s="783">
        <f t="shared" si="88"/>
        <v>0</v>
      </c>
      <c r="W76" s="776">
        <f t="shared" si="89"/>
        <v>0</v>
      </c>
      <c r="X76" s="777">
        <f t="shared" si="90"/>
        <v>0</v>
      </c>
      <c r="Z76" s="315" t="b">
        <f t="shared" si="92"/>
        <v>1</v>
      </c>
      <c r="AA76" s="315" t="b">
        <f t="shared" si="93"/>
        <v>1</v>
      </c>
      <c r="AB76" s="315" t="b">
        <f t="shared" si="94"/>
        <v>1</v>
      </c>
      <c r="AC76" s="315" t="b">
        <f t="shared" si="95"/>
        <v>1</v>
      </c>
      <c r="AD76" s="315" t="b">
        <f t="shared" si="96"/>
        <v>1</v>
      </c>
      <c r="AE76" s="315" t="b">
        <f t="shared" si="97"/>
        <v>1</v>
      </c>
      <c r="AF76" s="315" t="b">
        <f t="shared" si="98"/>
        <v>1</v>
      </c>
      <c r="AG76" s="315" t="b">
        <f t="shared" si="99"/>
        <v>1</v>
      </c>
      <c r="AH76" s="315" t="b">
        <f t="shared" si="100"/>
        <v>1</v>
      </c>
      <c r="AI76" s="315" t="b">
        <f t="shared" si="101"/>
        <v>1</v>
      </c>
      <c r="AJ76" s="315" t="b">
        <f t="shared" si="102"/>
        <v>1</v>
      </c>
      <c r="AK76" s="315" t="b">
        <f t="shared" si="103"/>
        <v>1</v>
      </c>
      <c r="AL76" s="809" t="str">
        <f t="shared" si="104"/>
        <v/>
      </c>
      <c r="AM76" s="810" t="str">
        <f t="shared" si="105"/>
        <v/>
      </c>
      <c r="AN76" s="810" t="str">
        <f t="shared" si="106"/>
        <v/>
      </c>
      <c r="AO76" s="810" t="str">
        <f t="shared" si="107"/>
        <v/>
      </c>
      <c r="AP76" s="810" t="str">
        <f t="shared" si="108"/>
        <v/>
      </c>
      <c r="AQ76" s="810" t="str">
        <f t="shared" si="109"/>
        <v/>
      </c>
      <c r="AR76" s="810" t="str">
        <f t="shared" si="110"/>
        <v/>
      </c>
      <c r="AS76" s="810" t="str">
        <f t="shared" si="111"/>
        <v/>
      </c>
      <c r="AT76" s="810" t="str">
        <f t="shared" si="112"/>
        <v/>
      </c>
      <c r="AU76" s="810" t="str">
        <f t="shared" si="113"/>
        <v/>
      </c>
      <c r="AV76" s="810" t="str">
        <f t="shared" si="114"/>
        <v/>
      </c>
      <c r="AW76" s="814" t="str">
        <f t="shared" si="114"/>
        <v/>
      </c>
    </row>
    <row r="77" spans="1:49">
      <c r="A77" s="794" t="str">
        <f t="shared" si="91"/>
        <v>Ca 1,</v>
      </c>
      <c r="B77" s="314" t="s">
        <v>480</v>
      </c>
      <c r="C77" s="314" t="str">
        <f t="shared" si="115"/>
        <v>phosphat                      acid phân ly
磷化處理                     游離酸度</v>
      </c>
      <c r="D77" s="314" t="str">
        <f t="shared" si="116"/>
        <v>XD-000A</v>
      </c>
      <c r="E77" s="314" t="str">
        <f t="shared" si="117"/>
        <v>Point</v>
      </c>
      <c r="F77" s="314" t="str">
        <f t="shared" si="118"/>
        <v>&lt;1.5</v>
      </c>
      <c r="G77" s="783">
        <f t="shared" si="73"/>
        <v>1.2</v>
      </c>
      <c r="H77" s="783">
        <f t="shared" si="74"/>
        <v>0</v>
      </c>
      <c r="I77" s="788" t="str">
        <f t="shared" si="75"/>
        <v>kg</v>
      </c>
      <c r="J77" s="783">
        <f t="shared" si="76"/>
        <v>0</v>
      </c>
      <c r="K77" s="783">
        <f t="shared" si="77"/>
        <v>0</v>
      </c>
      <c r="L77" s="788" t="str">
        <f t="shared" si="78"/>
        <v>kg</v>
      </c>
      <c r="M77" s="783">
        <f t="shared" si="79"/>
        <v>0</v>
      </c>
      <c r="N77" s="783">
        <f t="shared" si="80"/>
        <v>0</v>
      </c>
      <c r="O77" s="788" t="str">
        <f t="shared" si="81"/>
        <v>kg</v>
      </c>
      <c r="P77" s="783">
        <f t="shared" si="82"/>
        <v>0</v>
      </c>
      <c r="Q77" s="783">
        <f t="shared" si="83"/>
        <v>0</v>
      </c>
      <c r="R77" s="788" t="str">
        <f t="shared" si="84"/>
        <v>kg</v>
      </c>
      <c r="S77" s="783">
        <f t="shared" si="85"/>
        <v>0</v>
      </c>
      <c r="T77" s="776">
        <f t="shared" si="86"/>
        <v>0</v>
      </c>
      <c r="U77" s="777">
        <f t="shared" si="87"/>
        <v>0</v>
      </c>
      <c r="V77" s="783">
        <f t="shared" si="88"/>
        <v>0</v>
      </c>
      <c r="W77" s="776">
        <f t="shared" si="89"/>
        <v>0</v>
      </c>
      <c r="X77" s="777">
        <f t="shared" si="90"/>
        <v>0</v>
      </c>
      <c r="Z77" s="315" t="b">
        <f t="shared" si="92"/>
        <v>1</v>
      </c>
      <c r="AA77" s="315" t="b">
        <f t="shared" si="93"/>
        <v>1</v>
      </c>
      <c r="AB77" s="315" t="b">
        <f t="shared" si="94"/>
        <v>1</v>
      </c>
      <c r="AC77" s="315" t="b">
        <f t="shared" si="95"/>
        <v>1</v>
      </c>
      <c r="AD77" s="315" t="b">
        <f t="shared" si="96"/>
        <v>1</v>
      </c>
      <c r="AE77" s="315" t="b">
        <f t="shared" si="97"/>
        <v>1</v>
      </c>
      <c r="AF77" s="315" t="b">
        <f t="shared" si="98"/>
        <v>1</v>
      </c>
      <c r="AG77" s="315" t="b">
        <f t="shared" si="99"/>
        <v>1</v>
      </c>
      <c r="AH77" s="315" t="b">
        <f t="shared" si="100"/>
        <v>1</v>
      </c>
      <c r="AI77" s="315" t="b">
        <f t="shared" si="101"/>
        <v>1</v>
      </c>
      <c r="AJ77" s="315" t="b">
        <f t="shared" si="102"/>
        <v>1</v>
      </c>
      <c r="AK77" s="315" t="b">
        <f t="shared" si="103"/>
        <v>1</v>
      </c>
      <c r="AL77" s="809" t="str">
        <f t="shared" si="104"/>
        <v/>
      </c>
      <c r="AM77" s="810" t="str">
        <f t="shared" si="105"/>
        <v/>
      </c>
      <c r="AN77" s="810" t="str">
        <f t="shared" si="106"/>
        <v/>
      </c>
      <c r="AO77" s="810" t="str">
        <f t="shared" si="107"/>
        <v/>
      </c>
      <c r="AP77" s="810" t="str">
        <f t="shared" si="108"/>
        <v/>
      </c>
      <c r="AQ77" s="810" t="str">
        <f t="shared" si="109"/>
        <v/>
      </c>
      <c r="AR77" s="810" t="str">
        <f t="shared" si="110"/>
        <v/>
      </c>
      <c r="AS77" s="810" t="str">
        <f t="shared" si="111"/>
        <v/>
      </c>
      <c r="AT77" s="810" t="str">
        <f t="shared" si="112"/>
        <v/>
      </c>
      <c r="AU77" s="810" t="str">
        <f t="shared" si="113"/>
        <v/>
      </c>
      <c r="AV77" s="810" t="str">
        <f t="shared" si="114"/>
        <v/>
      </c>
      <c r="AW77" s="814" t="str">
        <f t="shared" si="114"/>
        <v/>
      </c>
    </row>
    <row r="78" spans="1:49">
      <c r="A78" s="794" t="str">
        <f t="shared" si="91"/>
        <v>Ca 1,</v>
      </c>
      <c r="B78" s="314" t="s">
        <v>483</v>
      </c>
      <c r="C78" s="314" t="str">
        <f t="shared" si="115"/>
        <v>phosphat                      tổng độ chua
磷化處理                      總酸度</v>
      </c>
      <c r="D78" s="314" t="str">
        <f t="shared" si="116"/>
        <v>XD-000A</v>
      </c>
      <c r="E78" s="314" t="str">
        <f t="shared" si="117"/>
        <v>Point</v>
      </c>
      <c r="F78" s="314" t="str">
        <f t="shared" si="118"/>
        <v>20~25
(22.5)</v>
      </c>
      <c r="G78" s="783">
        <f t="shared" si="73"/>
        <v>23.5</v>
      </c>
      <c r="H78" s="783">
        <f t="shared" si="74"/>
        <v>0</v>
      </c>
      <c r="I78" s="788" t="str">
        <f t="shared" si="75"/>
        <v>kg</v>
      </c>
      <c r="J78" s="783">
        <f t="shared" si="76"/>
        <v>0</v>
      </c>
      <c r="K78" s="783">
        <f t="shared" si="77"/>
        <v>0</v>
      </c>
      <c r="L78" s="788" t="str">
        <f t="shared" si="78"/>
        <v>kg</v>
      </c>
      <c r="M78" s="783">
        <f t="shared" si="79"/>
        <v>0</v>
      </c>
      <c r="N78" s="783">
        <f t="shared" si="80"/>
        <v>0</v>
      </c>
      <c r="O78" s="788" t="str">
        <f t="shared" si="81"/>
        <v>kg</v>
      </c>
      <c r="P78" s="783">
        <f t="shared" si="82"/>
        <v>0</v>
      </c>
      <c r="Q78" s="783">
        <f t="shared" si="83"/>
        <v>0</v>
      </c>
      <c r="R78" s="788" t="str">
        <f t="shared" si="84"/>
        <v>kg</v>
      </c>
      <c r="S78" s="783">
        <f t="shared" si="85"/>
        <v>0</v>
      </c>
      <c r="T78" s="776">
        <f t="shared" si="86"/>
        <v>0</v>
      </c>
      <c r="U78" s="777">
        <f t="shared" si="87"/>
        <v>0</v>
      </c>
      <c r="V78" s="783">
        <f t="shared" si="88"/>
        <v>0</v>
      </c>
      <c r="W78" s="776">
        <f t="shared" si="89"/>
        <v>0</v>
      </c>
      <c r="X78" s="777">
        <f t="shared" si="90"/>
        <v>0</v>
      </c>
      <c r="Z78" s="315" t="b">
        <f t="shared" si="92"/>
        <v>1</v>
      </c>
      <c r="AA78" s="315" t="b">
        <f t="shared" si="93"/>
        <v>1</v>
      </c>
      <c r="AB78" s="315" t="b">
        <f t="shared" si="94"/>
        <v>1</v>
      </c>
      <c r="AC78" s="315" t="b">
        <f t="shared" si="95"/>
        <v>1</v>
      </c>
      <c r="AD78" s="315" t="b">
        <f t="shared" si="96"/>
        <v>1</v>
      </c>
      <c r="AE78" s="315" t="b">
        <f t="shared" si="97"/>
        <v>1</v>
      </c>
      <c r="AF78" s="315" t="b">
        <f t="shared" si="98"/>
        <v>1</v>
      </c>
      <c r="AG78" s="315" t="b">
        <f t="shared" si="99"/>
        <v>1</v>
      </c>
      <c r="AH78" s="315" t="b">
        <f t="shared" si="100"/>
        <v>1</v>
      </c>
      <c r="AI78" s="315" t="b">
        <f t="shared" si="101"/>
        <v>1</v>
      </c>
      <c r="AJ78" s="315" t="b">
        <f t="shared" si="102"/>
        <v>1</v>
      </c>
      <c r="AK78" s="315" t="b">
        <f t="shared" si="103"/>
        <v>1</v>
      </c>
      <c r="AL78" s="809" t="str">
        <f t="shared" si="104"/>
        <v/>
      </c>
      <c r="AM78" s="810" t="str">
        <f t="shared" si="105"/>
        <v/>
      </c>
      <c r="AN78" s="810" t="str">
        <f t="shared" si="106"/>
        <v/>
      </c>
      <c r="AO78" s="810" t="str">
        <f t="shared" si="107"/>
        <v/>
      </c>
      <c r="AP78" s="810" t="str">
        <f t="shared" si="108"/>
        <v/>
      </c>
      <c r="AQ78" s="810" t="str">
        <f t="shared" si="109"/>
        <v/>
      </c>
      <c r="AR78" s="810" t="str">
        <f t="shared" si="110"/>
        <v/>
      </c>
      <c r="AS78" s="810" t="str">
        <f t="shared" si="111"/>
        <v/>
      </c>
      <c r="AT78" s="810" t="str">
        <f t="shared" si="112"/>
        <v/>
      </c>
      <c r="AU78" s="810" t="str">
        <f t="shared" si="113"/>
        <v/>
      </c>
      <c r="AV78" s="810" t="str">
        <f t="shared" si="114"/>
        <v/>
      </c>
      <c r="AW78" s="814" t="str">
        <f t="shared" si="114"/>
        <v/>
      </c>
    </row>
    <row r="79" spans="1:49">
      <c r="A79" s="794" t="str">
        <f t="shared" si="91"/>
        <v>Ca 1,</v>
      </c>
      <c r="B79" s="314" t="s">
        <v>486</v>
      </c>
      <c r="C79" s="314" t="str">
        <f t="shared" si="115"/>
        <v>phosphat                     Xúc tiến  AC
磷化處理                      促進劑</v>
      </c>
      <c r="D79" s="314" t="str">
        <f t="shared" si="116"/>
        <v>XD-000A</v>
      </c>
      <c r="E79" s="314" t="str">
        <f t="shared" si="117"/>
        <v>Point</v>
      </c>
      <c r="F79" s="314" t="str">
        <f t="shared" si="118"/>
        <v>6~9
(7.5)</v>
      </c>
      <c r="G79" s="783">
        <f t="shared" si="73"/>
        <v>7.5</v>
      </c>
      <c r="H79" s="783">
        <f t="shared" si="74"/>
        <v>0</v>
      </c>
      <c r="I79" s="788" t="str">
        <f t="shared" si="75"/>
        <v>kg</v>
      </c>
      <c r="J79" s="783">
        <f t="shared" si="76"/>
        <v>0</v>
      </c>
      <c r="K79" s="783">
        <f t="shared" si="77"/>
        <v>0</v>
      </c>
      <c r="L79" s="788" t="str">
        <f t="shared" si="78"/>
        <v>kg</v>
      </c>
      <c r="M79" s="783">
        <f t="shared" si="79"/>
        <v>0</v>
      </c>
      <c r="N79" s="783">
        <f t="shared" si="80"/>
        <v>0</v>
      </c>
      <c r="O79" s="788" t="str">
        <f t="shared" si="81"/>
        <v>kg</v>
      </c>
      <c r="P79" s="783">
        <f t="shared" si="82"/>
        <v>0</v>
      </c>
      <c r="Q79" s="783">
        <f t="shared" si="83"/>
        <v>0</v>
      </c>
      <c r="R79" s="788" t="str">
        <f t="shared" si="84"/>
        <v>kg</v>
      </c>
      <c r="S79" s="783">
        <f t="shared" si="85"/>
        <v>0</v>
      </c>
      <c r="T79" s="776">
        <f t="shared" si="86"/>
        <v>0</v>
      </c>
      <c r="U79" s="777">
        <f t="shared" si="87"/>
        <v>0</v>
      </c>
      <c r="V79" s="783">
        <f t="shared" si="88"/>
        <v>0</v>
      </c>
      <c r="W79" s="776">
        <f t="shared" si="89"/>
        <v>0</v>
      </c>
      <c r="X79" s="777">
        <f t="shared" si="90"/>
        <v>0</v>
      </c>
      <c r="Z79" s="315" t="b">
        <f t="shared" si="92"/>
        <v>1</v>
      </c>
      <c r="AA79" s="315" t="b">
        <f t="shared" si="93"/>
        <v>1</v>
      </c>
      <c r="AB79" s="315" t="b">
        <f t="shared" si="94"/>
        <v>1</v>
      </c>
      <c r="AC79" s="315" t="b">
        <f t="shared" si="95"/>
        <v>1</v>
      </c>
      <c r="AD79" s="315" t="b">
        <f t="shared" si="96"/>
        <v>1</v>
      </c>
      <c r="AE79" s="315" t="b">
        <f t="shared" si="97"/>
        <v>1</v>
      </c>
      <c r="AF79" s="315" t="b">
        <f t="shared" si="98"/>
        <v>1</v>
      </c>
      <c r="AG79" s="315" t="b">
        <f t="shared" si="99"/>
        <v>1</v>
      </c>
      <c r="AH79" s="315" t="b">
        <f t="shared" si="100"/>
        <v>1</v>
      </c>
      <c r="AI79" s="315" t="b">
        <f t="shared" si="101"/>
        <v>1</v>
      </c>
      <c r="AJ79" s="315" t="b">
        <f t="shared" si="102"/>
        <v>1</v>
      </c>
      <c r="AK79" s="315" t="b">
        <f t="shared" si="103"/>
        <v>1</v>
      </c>
      <c r="AL79" s="809" t="str">
        <f t="shared" si="104"/>
        <v/>
      </c>
      <c r="AM79" s="810" t="str">
        <f t="shared" si="105"/>
        <v/>
      </c>
      <c r="AN79" s="810" t="str">
        <f t="shared" si="106"/>
        <v/>
      </c>
      <c r="AO79" s="810" t="str">
        <f t="shared" si="107"/>
        <v/>
      </c>
      <c r="AP79" s="810" t="str">
        <f t="shared" si="108"/>
        <v/>
      </c>
      <c r="AQ79" s="810" t="str">
        <f t="shared" si="109"/>
        <v/>
      </c>
      <c r="AR79" s="810" t="str">
        <f t="shared" si="110"/>
        <v/>
      </c>
      <c r="AS79" s="810" t="str">
        <f t="shared" si="111"/>
        <v/>
      </c>
      <c r="AT79" s="810" t="str">
        <f t="shared" si="112"/>
        <v/>
      </c>
      <c r="AU79" s="810" t="str">
        <f t="shared" si="113"/>
        <v/>
      </c>
      <c r="AV79" s="810" t="str">
        <f t="shared" si="114"/>
        <v/>
      </c>
      <c r="AW79" s="814" t="str">
        <f t="shared" si="114"/>
        <v/>
      </c>
    </row>
    <row r="80" spans="1:49">
      <c r="A80" s="794" t="str">
        <f t="shared" si="91"/>
        <v>Ca 1,</v>
      </c>
      <c r="B80" s="314" t="s">
        <v>489</v>
      </c>
      <c r="C80" s="314" t="str">
        <f t="shared" si="115"/>
        <v>chất điều chỉnh (pH&gt;7)
表調</v>
      </c>
      <c r="D80" s="314" t="str">
        <f t="shared" si="116"/>
        <v>XD-000A</v>
      </c>
      <c r="E80" s="314" t="str">
        <f t="shared" si="117"/>
        <v>pH</v>
      </c>
      <c r="F80" s="314" t="str">
        <f t="shared" si="118"/>
        <v>7~10 
(&gt;7)</v>
      </c>
      <c r="G80" s="783">
        <f t="shared" si="73"/>
        <v>7.3</v>
      </c>
      <c r="H80" s="783">
        <f t="shared" si="74"/>
        <v>0</v>
      </c>
      <c r="I80" s="788">
        <f t="shared" si="75"/>
        <v>0</v>
      </c>
      <c r="J80" s="783">
        <f t="shared" si="76"/>
        <v>0</v>
      </c>
      <c r="K80" s="783">
        <f t="shared" si="77"/>
        <v>0</v>
      </c>
      <c r="L80" s="788">
        <f t="shared" si="78"/>
        <v>0</v>
      </c>
      <c r="M80" s="783">
        <f t="shared" si="79"/>
        <v>0</v>
      </c>
      <c r="N80" s="783">
        <f t="shared" si="80"/>
        <v>0</v>
      </c>
      <c r="O80" s="788">
        <f t="shared" si="81"/>
        <v>0</v>
      </c>
      <c r="P80" s="783">
        <f t="shared" si="82"/>
        <v>0</v>
      </c>
      <c r="Q80" s="783">
        <f t="shared" si="83"/>
        <v>0</v>
      </c>
      <c r="R80" s="788">
        <f t="shared" si="84"/>
        <v>0</v>
      </c>
      <c r="S80" s="783">
        <f t="shared" si="85"/>
        <v>0</v>
      </c>
      <c r="T80" s="776">
        <f t="shared" si="86"/>
        <v>0</v>
      </c>
      <c r="U80" s="777">
        <f t="shared" si="87"/>
        <v>0</v>
      </c>
      <c r="V80" s="783">
        <f t="shared" si="88"/>
        <v>0</v>
      </c>
      <c r="W80" s="776">
        <f t="shared" si="89"/>
        <v>0</v>
      </c>
      <c r="X80" s="777">
        <f t="shared" si="90"/>
        <v>0</v>
      </c>
      <c r="Z80" s="315" t="b">
        <f t="shared" si="92"/>
        <v>1</v>
      </c>
      <c r="AA80" s="315" t="b">
        <f t="shared" si="93"/>
        <v>1</v>
      </c>
      <c r="AB80" s="315" t="b">
        <f t="shared" si="94"/>
        <v>1</v>
      </c>
      <c r="AC80" s="315" t="b">
        <f t="shared" si="95"/>
        <v>1</v>
      </c>
      <c r="AD80" s="315" t="b">
        <f t="shared" si="96"/>
        <v>1</v>
      </c>
      <c r="AE80" s="315" t="b">
        <f t="shared" si="97"/>
        <v>1</v>
      </c>
      <c r="AF80" s="315" t="b">
        <f t="shared" si="98"/>
        <v>1</v>
      </c>
      <c r="AG80" s="315" t="b">
        <f t="shared" si="99"/>
        <v>1</v>
      </c>
      <c r="AH80" s="315" t="b">
        <f t="shared" si="100"/>
        <v>1</v>
      </c>
      <c r="AI80" s="315" t="b">
        <f t="shared" si="101"/>
        <v>1</v>
      </c>
      <c r="AJ80" s="315" t="b">
        <f t="shared" si="102"/>
        <v>1</v>
      </c>
      <c r="AK80" s="315" t="b">
        <f t="shared" si="103"/>
        <v>1</v>
      </c>
      <c r="AL80" s="809" t="str">
        <f t="shared" si="104"/>
        <v/>
      </c>
      <c r="AM80" s="810" t="str">
        <f t="shared" si="105"/>
        <v/>
      </c>
      <c r="AN80" s="810" t="str">
        <f t="shared" si="106"/>
        <v/>
      </c>
      <c r="AO80" s="810" t="str">
        <f t="shared" si="107"/>
        <v/>
      </c>
      <c r="AP80" s="810" t="str">
        <f t="shared" si="108"/>
        <v/>
      </c>
      <c r="AQ80" s="810" t="str">
        <f t="shared" si="109"/>
        <v/>
      </c>
      <c r="AR80" s="810" t="str">
        <f t="shared" si="110"/>
        <v/>
      </c>
      <c r="AS80" s="810" t="str">
        <f t="shared" si="111"/>
        <v/>
      </c>
      <c r="AT80" s="810" t="str">
        <f t="shared" si="112"/>
        <v/>
      </c>
      <c r="AU80" s="810" t="str">
        <f t="shared" si="113"/>
        <v/>
      </c>
      <c r="AV80" s="810" t="str">
        <f t="shared" si="114"/>
        <v/>
      </c>
      <c r="AW80" s="814" t="str">
        <f t="shared" si="114"/>
        <v/>
      </c>
    </row>
    <row r="81" spans="1:49">
      <c r="A81" s="794" t="str">
        <f t="shared" si="91"/>
        <v>Ca 1,</v>
      </c>
      <c r="B81" s="314" t="s">
        <v>492</v>
      </c>
      <c r="C81" s="314" t="str">
        <f t="shared" si="115"/>
        <v>ED電泳 pH 
ED Bồn sơn tĩnh điện pH   1</v>
      </c>
      <c r="D81" s="314" t="str">
        <f t="shared" si="116"/>
        <v>XD-000A</v>
      </c>
      <c r="E81" s="314" t="str">
        <f t="shared" si="117"/>
        <v>pH</v>
      </c>
      <c r="F81" s="314" t="str">
        <f t="shared" si="118"/>
        <v>5.3~6.0
(5.5)</v>
      </c>
      <c r="G81" s="783">
        <f t="shared" si="73"/>
        <v>5.4</v>
      </c>
      <c r="H81" s="783">
        <f t="shared" si="74"/>
        <v>0</v>
      </c>
      <c r="I81" s="788">
        <f t="shared" si="75"/>
        <v>0</v>
      </c>
      <c r="J81" s="783">
        <f t="shared" si="76"/>
        <v>0</v>
      </c>
      <c r="K81" s="783">
        <f t="shared" si="77"/>
        <v>0</v>
      </c>
      <c r="L81" s="788">
        <f t="shared" si="78"/>
        <v>0</v>
      </c>
      <c r="M81" s="783">
        <f t="shared" si="79"/>
        <v>0</v>
      </c>
      <c r="N81" s="783">
        <f t="shared" si="80"/>
        <v>0</v>
      </c>
      <c r="O81" s="788">
        <f t="shared" si="81"/>
        <v>0</v>
      </c>
      <c r="P81" s="783">
        <f t="shared" si="82"/>
        <v>0</v>
      </c>
      <c r="Q81" s="783">
        <f t="shared" si="83"/>
        <v>0</v>
      </c>
      <c r="R81" s="788">
        <f t="shared" si="84"/>
        <v>0</v>
      </c>
      <c r="S81" s="783">
        <f t="shared" si="85"/>
        <v>0</v>
      </c>
      <c r="T81" s="776">
        <f t="shared" si="86"/>
        <v>0</v>
      </c>
      <c r="U81" s="777">
        <f t="shared" si="87"/>
        <v>0</v>
      </c>
      <c r="V81" s="783">
        <f t="shared" si="88"/>
        <v>0</v>
      </c>
      <c r="W81" s="776">
        <f t="shared" si="89"/>
        <v>0</v>
      </c>
      <c r="X81" s="777">
        <f t="shared" si="90"/>
        <v>0</v>
      </c>
      <c r="Z81" s="315" t="b">
        <f t="shared" si="92"/>
        <v>1</v>
      </c>
      <c r="AA81" s="315" t="b">
        <f t="shared" si="93"/>
        <v>1</v>
      </c>
      <c r="AB81" s="315" t="b">
        <f t="shared" si="94"/>
        <v>1</v>
      </c>
      <c r="AC81" s="315" t="b">
        <f t="shared" si="95"/>
        <v>1</v>
      </c>
      <c r="AD81" s="315" t="b">
        <f t="shared" si="96"/>
        <v>1</v>
      </c>
      <c r="AE81" s="315" t="b">
        <f t="shared" si="97"/>
        <v>1</v>
      </c>
      <c r="AF81" s="315" t="b">
        <f t="shared" si="98"/>
        <v>1</v>
      </c>
      <c r="AG81" s="315" t="b">
        <f t="shared" si="99"/>
        <v>1</v>
      </c>
      <c r="AH81" s="315" t="b">
        <f t="shared" si="100"/>
        <v>1</v>
      </c>
      <c r="AI81" s="315" t="b">
        <f t="shared" si="101"/>
        <v>1</v>
      </c>
      <c r="AJ81" s="315" t="b">
        <f t="shared" si="102"/>
        <v>1</v>
      </c>
      <c r="AK81" s="315" t="b">
        <f t="shared" si="103"/>
        <v>1</v>
      </c>
      <c r="AL81" s="809" t="str">
        <f t="shared" si="104"/>
        <v/>
      </c>
      <c r="AM81" s="810" t="str">
        <f t="shared" si="105"/>
        <v/>
      </c>
      <c r="AN81" s="810" t="str">
        <f t="shared" si="106"/>
        <v/>
      </c>
      <c r="AO81" s="810" t="str">
        <f t="shared" si="107"/>
        <v/>
      </c>
      <c r="AP81" s="810" t="str">
        <f t="shared" si="108"/>
        <v/>
      </c>
      <c r="AQ81" s="810" t="str">
        <f t="shared" si="109"/>
        <v/>
      </c>
      <c r="AR81" s="810" t="str">
        <f t="shared" si="110"/>
        <v/>
      </c>
      <c r="AS81" s="810" t="str">
        <f t="shared" si="111"/>
        <v/>
      </c>
      <c r="AT81" s="810" t="str">
        <f t="shared" si="112"/>
        <v/>
      </c>
      <c r="AU81" s="810" t="str">
        <f t="shared" si="113"/>
        <v/>
      </c>
      <c r="AV81" s="810" t="str">
        <f t="shared" si="114"/>
        <v/>
      </c>
      <c r="AW81" s="814" t="str">
        <f t="shared" si="114"/>
        <v/>
      </c>
    </row>
    <row r="82" spans="1:49">
      <c r="A82" s="794" t="str">
        <f t="shared" si="91"/>
        <v>Ca 1,</v>
      </c>
      <c r="B82" s="314" t="s">
        <v>497</v>
      </c>
      <c r="C82" s="314" t="str">
        <f t="shared" si="115"/>
        <v>ED 固成份 (NV)
ED Thành phần rắn 1</v>
      </c>
      <c r="D82" s="314" t="str">
        <f t="shared" si="116"/>
        <v>XD-000A</v>
      </c>
      <c r="E82" s="314" t="str">
        <f t="shared" si="117"/>
        <v>%</v>
      </c>
      <c r="F82" s="314" t="str">
        <f t="shared" si="118"/>
        <v xml:space="preserve"> 12~18%
(15%)</v>
      </c>
      <c r="G82" s="783">
        <f t="shared" si="73"/>
        <v>15.035953785246829</v>
      </c>
      <c r="H82" s="783">
        <f t="shared" si="74"/>
        <v>0</v>
      </c>
      <c r="I82" s="788" t="str">
        <f t="shared" si="75"/>
        <v>L</v>
      </c>
      <c r="J82" s="783" t="str">
        <f t="shared" si="76"/>
        <v>\</v>
      </c>
      <c r="K82" s="783">
        <f t="shared" si="77"/>
        <v>0</v>
      </c>
      <c r="L82" s="788">
        <f t="shared" si="78"/>
        <v>0</v>
      </c>
      <c r="M82" s="783" t="str">
        <f t="shared" si="79"/>
        <v>\</v>
      </c>
      <c r="N82" s="783">
        <f t="shared" si="80"/>
        <v>0</v>
      </c>
      <c r="O82" s="788">
        <f t="shared" si="81"/>
        <v>0</v>
      </c>
      <c r="P82" s="783" t="str">
        <f t="shared" si="82"/>
        <v>\</v>
      </c>
      <c r="Q82" s="783">
        <f t="shared" si="83"/>
        <v>0</v>
      </c>
      <c r="R82" s="788">
        <f t="shared" si="84"/>
        <v>0</v>
      </c>
      <c r="S82" s="783">
        <f t="shared" si="85"/>
        <v>0</v>
      </c>
      <c r="T82" s="776">
        <f t="shared" si="86"/>
        <v>0</v>
      </c>
      <c r="U82" s="777">
        <f t="shared" si="87"/>
        <v>0</v>
      </c>
      <c r="V82" s="783">
        <f t="shared" si="88"/>
        <v>0</v>
      </c>
      <c r="W82" s="776">
        <f t="shared" si="89"/>
        <v>0</v>
      </c>
      <c r="X82" s="777">
        <f t="shared" si="90"/>
        <v>0</v>
      </c>
      <c r="Z82" s="781" t="b">
        <f>ISNUMBER(G82)</f>
        <v>1</v>
      </c>
      <c r="AA82" s="781" t="b">
        <f t="shared" si="93"/>
        <v>1</v>
      </c>
      <c r="AB82" s="781" t="b">
        <f t="shared" si="94"/>
        <v>0</v>
      </c>
      <c r="AC82" s="781" t="b">
        <f t="shared" si="95"/>
        <v>1</v>
      </c>
      <c r="AD82" s="315" t="b">
        <f t="shared" si="96"/>
        <v>0</v>
      </c>
      <c r="AE82" s="315" t="b">
        <f t="shared" si="97"/>
        <v>1</v>
      </c>
      <c r="AF82" s="315" t="b">
        <f t="shared" si="98"/>
        <v>0</v>
      </c>
      <c r="AG82" s="315" t="b">
        <f t="shared" si="99"/>
        <v>1</v>
      </c>
      <c r="AH82" s="315" t="b">
        <f t="shared" si="100"/>
        <v>1</v>
      </c>
      <c r="AI82" s="315" t="b">
        <f t="shared" si="101"/>
        <v>1</v>
      </c>
      <c r="AJ82" s="315" t="b">
        <f t="shared" si="102"/>
        <v>1</v>
      </c>
      <c r="AK82" s="315" t="b">
        <f t="shared" si="103"/>
        <v>1</v>
      </c>
      <c r="AL82" s="809" t="str">
        <f t="shared" si="104"/>
        <v/>
      </c>
      <c r="AM82" s="810" t="str">
        <f t="shared" si="105"/>
        <v/>
      </c>
      <c r="AN82" s="810">
        <f t="shared" si="106"/>
        <v>1</v>
      </c>
      <c r="AO82" s="810" t="str">
        <f t="shared" si="107"/>
        <v/>
      </c>
      <c r="AP82" s="810">
        <f t="shared" si="108"/>
        <v>1</v>
      </c>
      <c r="AQ82" s="810" t="str">
        <f t="shared" si="109"/>
        <v/>
      </c>
      <c r="AR82" s="810">
        <f t="shared" si="110"/>
        <v>1</v>
      </c>
      <c r="AS82" s="810" t="str">
        <f t="shared" si="111"/>
        <v/>
      </c>
      <c r="AT82" s="810" t="str">
        <f t="shared" si="112"/>
        <v/>
      </c>
      <c r="AU82" s="810" t="str">
        <f t="shared" si="113"/>
        <v/>
      </c>
      <c r="AV82" s="810" t="str">
        <f t="shared" si="114"/>
        <v/>
      </c>
      <c r="AW82" s="814" t="str">
        <f t="shared" si="114"/>
        <v/>
      </c>
    </row>
    <row r="83" spans="1:49">
      <c r="A83" s="794" t="str">
        <f t="shared" si="91"/>
        <v>Ca 1,</v>
      </c>
      <c r="B83" s="314" t="s">
        <v>498</v>
      </c>
      <c r="C83" s="314" t="str">
        <f t="shared" si="115"/>
        <v>ED 色料比
EDTỷ lệ màu 1</v>
      </c>
      <c r="D83" s="314" t="str">
        <f t="shared" si="116"/>
        <v>XD-000A</v>
      </c>
      <c r="E83" s="314" t="str">
        <f t="shared" si="117"/>
        <v>%</v>
      </c>
      <c r="F83" s="314" t="str">
        <f t="shared" si="118"/>
        <v>8~16%
(12%)</v>
      </c>
      <c r="G83" s="783" t="str">
        <f t="shared" si="73"/>
        <v/>
      </c>
      <c r="H83" s="783" t="str">
        <f t="shared" si="74"/>
        <v/>
      </c>
      <c r="I83" s="788" t="str">
        <f t="shared" si="75"/>
        <v>L</v>
      </c>
      <c r="J83" s="783" t="str">
        <f t="shared" si="76"/>
        <v>\</v>
      </c>
      <c r="K83" s="783">
        <f t="shared" si="77"/>
        <v>0</v>
      </c>
      <c r="L83" s="788">
        <f t="shared" si="78"/>
        <v>0</v>
      </c>
      <c r="M83" s="783" t="str">
        <f t="shared" si="79"/>
        <v>\</v>
      </c>
      <c r="N83" s="783">
        <f t="shared" si="80"/>
        <v>0</v>
      </c>
      <c r="O83" s="788">
        <f t="shared" si="81"/>
        <v>0</v>
      </c>
      <c r="P83" s="783" t="str">
        <f t="shared" si="82"/>
        <v>\</v>
      </c>
      <c r="Q83" s="783">
        <f t="shared" si="83"/>
        <v>0</v>
      </c>
      <c r="R83" s="788">
        <f t="shared" si="84"/>
        <v>0</v>
      </c>
      <c r="S83" s="783">
        <f t="shared" si="85"/>
        <v>0</v>
      </c>
      <c r="T83" s="776">
        <f t="shared" si="86"/>
        <v>0</v>
      </c>
      <c r="U83" s="777">
        <f t="shared" si="87"/>
        <v>0</v>
      </c>
      <c r="V83" s="783">
        <f t="shared" si="88"/>
        <v>0</v>
      </c>
      <c r="W83" s="776">
        <f t="shared" si="89"/>
        <v>0</v>
      </c>
      <c r="X83" s="777">
        <f t="shared" si="90"/>
        <v>0</v>
      </c>
      <c r="Z83" s="781" t="b">
        <f t="shared" si="92"/>
        <v>0</v>
      </c>
      <c r="AA83" s="781" t="b">
        <f t="shared" si="93"/>
        <v>0</v>
      </c>
      <c r="AB83" s="781" t="b">
        <f t="shared" si="94"/>
        <v>0</v>
      </c>
      <c r="AC83" s="781" t="b">
        <f t="shared" si="95"/>
        <v>1</v>
      </c>
      <c r="AD83" s="315" t="b">
        <f t="shared" si="96"/>
        <v>0</v>
      </c>
      <c r="AE83" s="315" t="b">
        <f t="shared" si="97"/>
        <v>1</v>
      </c>
      <c r="AF83" s="315" t="b">
        <f t="shared" si="98"/>
        <v>0</v>
      </c>
      <c r="AG83" s="315" t="b">
        <f t="shared" si="99"/>
        <v>1</v>
      </c>
      <c r="AH83" s="315" t="b">
        <f t="shared" si="100"/>
        <v>1</v>
      </c>
      <c r="AI83" s="315" t="b">
        <f t="shared" si="101"/>
        <v>1</v>
      </c>
      <c r="AJ83" s="315" t="b">
        <f t="shared" si="102"/>
        <v>1</v>
      </c>
      <c r="AK83" s="315" t="b">
        <f t="shared" si="103"/>
        <v>1</v>
      </c>
      <c r="AL83" s="809">
        <f t="shared" si="104"/>
        <v>1</v>
      </c>
      <c r="AM83" s="810">
        <f t="shared" si="105"/>
        <v>1</v>
      </c>
      <c r="AN83" s="810">
        <f t="shared" si="106"/>
        <v>1</v>
      </c>
      <c r="AO83" s="810" t="str">
        <f t="shared" si="107"/>
        <v/>
      </c>
      <c r="AP83" s="810">
        <f t="shared" si="108"/>
        <v>1</v>
      </c>
      <c r="AQ83" s="810" t="str">
        <f t="shared" si="109"/>
        <v/>
      </c>
      <c r="AR83" s="810">
        <f t="shared" si="110"/>
        <v>1</v>
      </c>
      <c r="AS83" s="810" t="str">
        <f t="shared" si="111"/>
        <v/>
      </c>
      <c r="AT83" s="810" t="str">
        <f t="shared" si="112"/>
        <v/>
      </c>
      <c r="AU83" s="810" t="str">
        <f t="shared" si="113"/>
        <v/>
      </c>
      <c r="AV83" s="810" t="str">
        <f t="shared" si="114"/>
        <v/>
      </c>
      <c r="AW83" s="814" t="str">
        <f t="shared" si="114"/>
        <v/>
      </c>
    </row>
    <row r="84" spans="1:49">
      <c r="A84" s="794" t="str">
        <f t="shared" si="91"/>
        <v>Ca 1,</v>
      </c>
      <c r="B84" s="314" t="s">
        <v>501</v>
      </c>
      <c r="C84" s="314" t="str">
        <f t="shared" si="115"/>
        <v>UF水洗1
Bồn thu hồi 1 (Thành phần rắn)</v>
      </c>
      <c r="D84" s="314" t="str">
        <f t="shared" si="116"/>
        <v>XD-000A</v>
      </c>
      <c r="E84" s="314" t="str">
        <f t="shared" si="117"/>
        <v>%</v>
      </c>
      <c r="F84" s="314" t="str">
        <f t="shared" si="118"/>
        <v>&lt;5%</v>
      </c>
      <c r="G84" s="783">
        <f t="shared" si="73"/>
        <v>0.43407043407043394</v>
      </c>
      <c r="H84" s="783">
        <f t="shared" si="74"/>
        <v>0</v>
      </c>
      <c r="I84" s="788">
        <f t="shared" si="75"/>
        <v>0</v>
      </c>
      <c r="J84" s="783" t="str">
        <f t="shared" si="76"/>
        <v>\</v>
      </c>
      <c r="K84" s="783">
        <f t="shared" si="77"/>
        <v>0</v>
      </c>
      <c r="L84" s="788">
        <f t="shared" si="78"/>
        <v>0</v>
      </c>
      <c r="M84" s="783" t="str">
        <f t="shared" si="79"/>
        <v>\</v>
      </c>
      <c r="N84" s="783">
        <f t="shared" si="80"/>
        <v>0</v>
      </c>
      <c r="O84" s="788">
        <f t="shared" si="81"/>
        <v>0</v>
      </c>
      <c r="P84" s="783" t="str">
        <f t="shared" si="82"/>
        <v>\</v>
      </c>
      <c r="Q84" s="783">
        <f t="shared" si="83"/>
        <v>0</v>
      </c>
      <c r="R84" s="788">
        <f t="shared" si="84"/>
        <v>0</v>
      </c>
      <c r="S84" s="783">
        <f t="shared" si="85"/>
        <v>0</v>
      </c>
      <c r="T84" s="776">
        <f t="shared" si="86"/>
        <v>0</v>
      </c>
      <c r="U84" s="777">
        <f t="shared" si="87"/>
        <v>0</v>
      </c>
      <c r="V84" s="783">
        <f t="shared" si="88"/>
        <v>0</v>
      </c>
      <c r="W84" s="776">
        <f t="shared" si="89"/>
        <v>0</v>
      </c>
      <c r="X84" s="777">
        <f t="shared" si="90"/>
        <v>0</v>
      </c>
      <c r="Z84" s="781" t="b">
        <f t="shared" si="92"/>
        <v>1</v>
      </c>
      <c r="AA84" s="782" t="b">
        <f t="shared" si="93"/>
        <v>1</v>
      </c>
      <c r="AB84" s="781" t="b">
        <f t="shared" si="94"/>
        <v>0</v>
      </c>
      <c r="AC84" s="315" t="b">
        <f t="shared" si="95"/>
        <v>1</v>
      </c>
      <c r="AD84" s="315" t="b">
        <f t="shared" si="96"/>
        <v>0</v>
      </c>
      <c r="AE84" s="315" t="b">
        <f t="shared" si="97"/>
        <v>1</v>
      </c>
      <c r="AF84" s="315" t="b">
        <f t="shared" si="98"/>
        <v>0</v>
      </c>
      <c r="AG84" s="315" t="b">
        <f t="shared" si="99"/>
        <v>1</v>
      </c>
      <c r="AH84" s="315" t="b">
        <f t="shared" si="100"/>
        <v>1</v>
      </c>
      <c r="AI84" s="315" t="b">
        <f t="shared" si="101"/>
        <v>1</v>
      </c>
      <c r="AJ84" s="315" t="b">
        <f t="shared" si="102"/>
        <v>1</v>
      </c>
      <c r="AK84" s="315" t="b">
        <f t="shared" si="103"/>
        <v>1</v>
      </c>
      <c r="AL84" s="809" t="str">
        <f t="shared" si="104"/>
        <v/>
      </c>
      <c r="AM84" s="810" t="str">
        <f t="shared" si="105"/>
        <v/>
      </c>
      <c r="AN84" s="810">
        <f t="shared" si="106"/>
        <v>1</v>
      </c>
      <c r="AO84" s="810" t="str">
        <f t="shared" si="107"/>
        <v/>
      </c>
      <c r="AP84" s="810">
        <f t="shared" si="108"/>
        <v>1</v>
      </c>
      <c r="AQ84" s="810" t="str">
        <f t="shared" si="109"/>
        <v/>
      </c>
      <c r="AR84" s="810">
        <f t="shared" si="110"/>
        <v>1</v>
      </c>
      <c r="AS84" s="810" t="str">
        <f t="shared" si="111"/>
        <v/>
      </c>
      <c r="AT84" s="810" t="str">
        <f t="shared" si="112"/>
        <v/>
      </c>
      <c r="AU84" s="810" t="str">
        <f t="shared" si="113"/>
        <v/>
      </c>
      <c r="AV84" s="810" t="str">
        <f t="shared" si="114"/>
        <v/>
      </c>
      <c r="AW84" s="814" t="str">
        <f t="shared" si="114"/>
        <v/>
      </c>
    </row>
    <row r="85" spans="1:49">
      <c r="A85" s="794" t="str">
        <f t="shared" si="91"/>
        <v>Ca 1,</v>
      </c>
      <c r="B85" s="314" t="s">
        <v>502</v>
      </c>
      <c r="C85" s="314" t="str">
        <f t="shared" si="115"/>
        <v>UF水洗2
 Bồn thu hồi 2  (Thành phần rắn)</v>
      </c>
      <c r="D85" s="314" t="str">
        <f t="shared" si="116"/>
        <v>XD-000A</v>
      </c>
      <c r="E85" s="314" t="str">
        <f t="shared" si="117"/>
        <v>%</v>
      </c>
      <c r="F85" s="314" t="str">
        <f t="shared" si="118"/>
        <v>&lt;3%</v>
      </c>
      <c r="G85" s="783">
        <f t="shared" si="73"/>
        <v>0.26837996096291455</v>
      </c>
      <c r="H85" s="783">
        <f t="shared" si="74"/>
        <v>0</v>
      </c>
      <c r="I85" s="788">
        <f t="shared" si="75"/>
        <v>0</v>
      </c>
      <c r="J85" s="783" t="str">
        <f t="shared" si="76"/>
        <v>\</v>
      </c>
      <c r="K85" s="783">
        <f t="shared" si="77"/>
        <v>0</v>
      </c>
      <c r="L85" s="788">
        <f t="shared" si="78"/>
        <v>0</v>
      </c>
      <c r="M85" s="783" t="str">
        <f t="shared" si="79"/>
        <v>\</v>
      </c>
      <c r="N85" s="783">
        <f t="shared" si="80"/>
        <v>0</v>
      </c>
      <c r="O85" s="788">
        <f t="shared" si="81"/>
        <v>0</v>
      </c>
      <c r="P85" s="783" t="str">
        <f t="shared" si="82"/>
        <v>\</v>
      </c>
      <c r="Q85" s="783">
        <f t="shared" si="83"/>
        <v>0</v>
      </c>
      <c r="R85" s="788">
        <f t="shared" si="84"/>
        <v>0</v>
      </c>
      <c r="S85" s="783">
        <f t="shared" si="85"/>
        <v>0</v>
      </c>
      <c r="T85" s="776">
        <f t="shared" si="86"/>
        <v>0</v>
      </c>
      <c r="U85" s="777">
        <f t="shared" si="87"/>
        <v>0</v>
      </c>
      <c r="V85" s="783">
        <f t="shared" si="88"/>
        <v>0</v>
      </c>
      <c r="W85" s="776">
        <f t="shared" si="89"/>
        <v>0</v>
      </c>
      <c r="X85" s="777">
        <f t="shared" si="90"/>
        <v>0</v>
      </c>
      <c r="Z85" s="781" t="b">
        <f t="shared" si="92"/>
        <v>1</v>
      </c>
      <c r="AA85" s="782" t="b">
        <f t="shared" si="93"/>
        <v>1</v>
      </c>
      <c r="AB85" s="781" t="b">
        <f t="shared" si="94"/>
        <v>0</v>
      </c>
      <c r="AC85" s="315" t="b">
        <f t="shared" si="95"/>
        <v>1</v>
      </c>
      <c r="AD85" s="315" t="b">
        <f t="shared" si="96"/>
        <v>0</v>
      </c>
      <c r="AE85" s="315" t="b">
        <f t="shared" si="97"/>
        <v>1</v>
      </c>
      <c r="AF85" s="315" t="b">
        <f t="shared" si="98"/>
        <v>0</v>
      </c>
      <c r="AG85" s="315" t="b">
        <f t="shared" si="99"/>
        <v>1</v>
      </c>
      <c r="AH85" s="315" t="b">
        <f t="shared" si="100"/>
        <v>1</v>
      </c>
      <c r="AI85" s="315" t="b">
        <f t="shared" si="101"/>
        <v>1</v>
      </c>
      <c r="AJ85" s="315" t="b">
        <f t="shared" si="102"/>
        <v>1</v>
      </c>
      <c r="AK85" s="315" t="b">
        <f t="shared" si="103"/>
        <v>1</v>
      </c>
      <c r="AL85" s="809" t="str">
        <f t="shared" si="104"/>
        <v/>
      </c>
      <c r="AM85" s="810" t="str">
        <f t="shared" si="105"/>
        <v/>
      </c>
      <c r="AN85" s="810">
        <f t="shared" si="106"/>
        <v>1</v>
      </c>
      <c r="AO85" s="810" t="str">
        <f t="shared" si="107"/>
        <v/>
      </c>
      <c r="AP85" s="810">
        <f t="shared" si="108"/>
        <v>1</v>
      </c>
      <c r="AQ85" s="810" t="str">
        <f t="shared" si="109"/>
        <v/>
      </c>
      <c r="AR85" s="810">
        <f t="shared" si="110"/>
        <v>1</v>
      </c>
      <c r="AS85" s="810" t="str">
        <f t="shared" si="111"/>
        <v/>
      </c>
      <c r="AT85" s="810" t="str">
        <f t="shared" si="112"/>
        <v/>
      </c>
      <c r="AU85" s="810" t="str">
        <f t="shared" si="113"/>
        <v/>
      </c>
      <c r="AV85" s="810" t="str">
        <f t="shared" si="114"/>
        <v/>
      </c>
      <c r="AW85" s="814" t="str">
        <f t="shared" si="114"/>
        <v/>
      </c>
    </row>
    <row r="86" spans="1:49">
      <c r="A86" s="794" t="str">
        <f t="shared" si="91"/>
        <v>Ca 1,</v>
      </c>
      <c r="B86" s="314" t="s">
        <v>524</v>
      </c>
      <c r="C86" s="314" t="str">
        <f t="shared" si="115"/>
        <v>熱脫脂 Xà bông 1</v>
      </c>
      <c r="D86" s="314" t="str">
        <f t="shared" si="116"/>
        <v>DC-000A</v>
      </c>
      <c r="E86" s="314" t="str">
        <f t="shared" si="117"/>
        <v>g/L</v>
      </c>
      <c r="F86" s="314" t="str">
        <f t="shared" si="118"/>
        <v>20~30
(25±3)</v>
      </c>
      <c r="G86" s="783">
        <f t="shared" si="73"/>
        <v>25.911999999999999</v>
      </c>
      <c r="H86" s="783">
        <f t="shared" si="74"/>
        <v>0</v>
      </c>
      <c r="I86" s="788" t="str">
        <f t="shared" si="75"/>
        <v>kg</v>
      </c>
      <c r="J86" s="783">
        <f t="shared" si="76"/>
        <v>29.388000000000002</v>
      </c>
      <c r="K86" s="783">
        <f t="shared" si="77"/>
        <v>0</v>
      </c>
      <c r="L86" s="788" t="str">
        <f t="shared" si="78"/>
        <v>kg</v>
      </c>
      <c r="M86" s="783">
        <f t="shared" si="79"/>
        <v>0</v>
      </c>
      <c r="N86" s="783">
        <f t="shared" si="80"/>
        <v>0</v>
      </c>
      <c r="O86" s="788">
        <f t="shared" si="81"/>
        <v>0</v>
      </c>
      <c r="P86" s="783">
        <f t="shared" si="82"/>
        <v>0</v>
      </c>
      <c r="Q86" s="783">
        <f t="shared" si="83"/>
        <v>0</v>
      </c>
      <c r="R86" s="788">
        <f t="shared" si="84"/>
        <v>0</v>
      </c>
      <c r="S86" s="783">
        <f t="shared" si="85"/>
        <v>0</v>
      </c>
      <c r="T86" s="776">
        <f t="shared" si="86"/>
        <v>0</v>
      </c>
      <c r="U86" s="777">
        <f t="shared" si="87"/>
        <v>0</v>
      </c>
      <c r="V86" s="783">
        <f t="shared" si="88"/>
        <v>0</v>
      </c>
      <c r="W86" s="776">
        <f t="shared" si="89"/>
        <v>0</v>
      </c>
      <c r="X86" s="777">
        <f t="shared" si="90"/>
        <v>0</v>
      </c>
      <c r="Z86" s="315" t="b">
        <f t="shared" si="92"/>
        <v>1</v>
      </c>
      <c r="AA86" s="315" t="b">
        <f t="shared" si="93"/>
        <v>1</v>
      </c>
      <c r="AB86" s="315" t="b">
        <f t="shared" si="94"/>
        <v>1</v>
      </c>
      <c r="AC86" s="315" t="b">
        <f t="shared" si="95"/>
        <v>1</v>
      </c>
      <c r="AD86" s="315" t="b">
        <f t="shared" si="96"/>
        <v>1</v>
      </c>
      <c r="AE86" s="315" t="b">
        <f t="shared" si="97"/>
        <v>1</v>
      </c>
      <c r="AF86" s="315" t="b">
        <f t="shared" si="98"/>
        <v>1</v>
      </c>
      <c r="AG86" s="315" t="b">
        <f t="shared" si="99"/>
        <v>1</v>
      </c>
      <c r="AH86" s="315" t="b">
        <f t="shared" si="100"/>
        <v>1</v>
      </c>
      <c r="AI86" s="315" t="b">
        <f t="shared" si="101"/>
        <v>1</v>
      </c>
      <c r="AJ86" s="315" t="b">
        <f t="shared" si="102"/>
        <v>1</v>
      </c>
      <c r="AK86" s="315" t="b">
        <f t="shared" si="103"/>
        <v>1</v>
      </c>
      <c r="AL86" s="809" t="str">
        <f t="shared" si="104"/>
        <v/>
      </c>
      <c r="AM86" s="810" t="str">
        <f t="shared" si="105"/>
        <v/>
      </c>
      <c r="AN86" s="810" t="str">
        <f t="shared" si="106"/>
        <v/>
      </c>
      <c r="AO86" s="810" t="str">
        <f t="shared" si="107"/>
        <v/>
      </c>
      <c r="AP86" s="810" t="str">
        <f t="shared" si="108"/>
        <v/>
      </c>
      <c r="AQ86" s="810" t="str">
        <f t="shared" si="109"/>
        <v/>
      </c>
      <c r="AR86" s="810" t="str">
        <f t="shared" si="110"/>
        <v/>
      </c>
      <c r="AS86" s="810" t="str">
        <f t="shared" si="111"/>
        <v/>
      </c>
      <c r="AT86" s="810" t="str">
        <f t="shared" si="112"/>
        <v/>
      </c>
      <c r="AU86" s="810" t="str">
        <f t="shared" si="113"/>
        <v/>
      </c>
      <c r="AV86" s="810" t="str">
        <f t="shared" si="114"/>
        <v/>
      </c>
      <c r="AW86" s="814" t="str">
        <f t="shared" si="114"/>
        <v/>
      </c>
    </row>
    <row r="87" spans="1:49">
      <c r="A87" s="794" t="str">
        <f t="shared" si="91"/>
        <v>Ca 1,</v>
      </c>
      <c r="B87" s="314" t="s">
        <v>528</v>
      </c>
      <c r="C87" s="314" t="str">
        <f t="shared" si="115"/>
        <v>熱脫脂Xà bôngg 2</v>
      </c>
      <c r="D87" s="314" t="str">
        <f t="shared" si="116"/>
        <v>DC-000A</v>
      </c>
      <c r="E87" s="314" t="str">
        <f t="shared" si="117"/>
        <v>g/L</v>
      </c>
      <c r="F87" s="314" t="str">
        <f t="shared" si="118"/>
        <v>20~30
(25±3)</v>
      </c>
      <c r="G87" s="783">
        <f t="shared" si="73"/>
        <v>22.751999999999999</v>
      </c>
      <c r="H87" s="783">
        <f t="shared" si="74"/>
        <v>3.6687360000000018</v>
      </c>
      <c r="I87" s="788" t="str">
        <f t="shared" si="75"/>
        <v>kg</v>
      </c>
      <c r="J87" s="783">
        <f t="shared" si="76"/>
        <v>24.648000000000003</v>
      </c>
      <c r="K87" s="783">
        <f t="shared" si="77"/>
        <v>0.57446399999999476</v>
      </c>
      <c r="L87" s="788" t="str">
        <f t="shared" si="78"/>
        <v>kg</v>
      </c>
      <c r="M87" s="783">
        <f t="shared" si="79"/>
        <v>0</v>
      </c>
      <c r="N87" s="783">
        <f t="shared" si="80"/>
        <v>0</v>
      </c>
      <c r="O87" s="788">
        <f t="shared" si="81"/>
        <v>0</v>
      </c>
      <c r="P87" s="783">
        <f t="shared" si="82"/>
        <v>0</v>
      </c>
      <c r="Q87" s="783">
        <f t="shared" si="83"/>
        <v>0</v>
      </c>
      <c r="R87" s="788">
        <f t="shared" si="84"/>
        <v>0</v>
      </c>
      <c r="S87" s="783">
        <f t="shared" si="85"/>
        <v>0</v>
      </c>
      <c r="T87" s="776">
        <f t="shared" si="86"/>
        <v>0</v>
      </c>
      <c r="U87" s="777">
        <f t="shared" si="87"/>
        <v>0</v>
      </c>
      <c r="V87" s="783">
        <f t="shared" si="88"/>
        <v>0</v>
      </c>
      <c r="W87" s="776">
        <f t="shared" si="89"/>
        <v>0</v>
      </c>
      <c r="X87" s="777">
        <f t="shared" si="90"/>
        <v>0</v>
      </c>
      <c r="Z87" s="315" t="b">
        <f t="shared" si="92"/>
        <v>1</v>
      </c>
      <c r="AA87" s="315" t="b">
        <f t="shared" si="93"/>
        <v>1</v>
      </c>
      <c r="AB87" s="315" t="b">
        <f t="shared" si="94"/>
        <v>1</v>
      </c>
      <c r="AC87" s="315" t="b">
        <f t="shared" si="95"/>
        <v>1</v>
      </c>
      <c r="AD87" s="315" t="b">
        <f t="shared" si="96"/>
        <v>1</v>
      </c>
      <c r="AE87" s="315" t="b">
        <f t="shared" si="97"/>
        <v>1</v>
      </c>
      <c r="AF87" s="315" t="b">
        <f t="shared" si="98"/>
        <v>1</v>
      </c>
      <c r="AG87" s="315" t="b">
        <f t="shared" si="99"/>
        <v>1</v>
      </c>
      <c r="AH87" s="315" t="b">
        <f t="shared" si="100"/>
        <v>1</v>
      </c>
      <c r="AI87" s="315" t="b">
        <f t="shared" si="101"/>
        <v>1</v>
      </c>
      <c r="AJ87" s="315" t="b">
        <f t="shared" si="102"/>
        <v>1</v>
      </c>
      <c r="AK87" s="315" t="b">
        <f t="shared" si="103"/>
        <v>1</v>
      </c>
      <c r="AL87" s="809" t="str">
        <f t="shared" si="104"/>
        <v/>
      </c>
      <c r="AM87" s="810" t="str">
        <f t="shared" si="105"/>
        <v/>
      </c>
      <c r="AN87" s="810" t="str">
        <f t="shared" si="106"/>
        <v/>
      </c>
      <c r="AO87" s="810" t="str">
        <f t="shared" si="107"/>
        <v/>
      </c>
      <c r="AP87" s="810" t="str">
        <f t="shared" si="108"/>
        <v/>
      </c>
      <c r="AQ87" s="810" t="str">
        <f t="shared" si="109"/>
        <v/>
      </c>
      <c r="AR87" s="810" t="str">
        <f t="shared" si="110"/>
        <v/>
      </c>
      <c r="AS87" s="810" t="str">
        <f t="shared" si="111"/>
        <v/>
      </c>
      <c r="AT87" s="810" t="str">
        <f t="shared" si="112"/>
        <v/>
      </c>
      <c r="AU87" s="810" t="str">
        <f t="shared" si="113"/>
        <v/>
      </c>
      <c r="AV87" s="810" t="str">
        <f t="shared" si="114"/>
        <v/>
      </c>
      <c r="AW87" s="814" t="str">
        <f t="shared" si="114"/>
        <v/>
      </c>
    </row>
    <row r="88" spans="1:49">
      <c r="A88" s="794" t="str">
        <f t="shared" si="91"/>
        <v>Ca 1,</v>
      </c>
      <c r="B88" s="314" t="s">
        <v>530</v>
      </c>
      <c r="C88" s="314" t="str">
        <f t="shared" si="115"/>
        <v>HNO3   中和</v>
      </c>
      <c r="D88" s="314" t="str">
        <f t="shared" si="116"/>
        <v>DC-000A</v>
      </c>
      <c r="E88" s="314" t="str">
        <f t="shared" si="117"/>
        <v>ml/L</v>
      </c>
      <c r="F88" s="314" t="str">
        <f t="shared" si="118"/>
        <v>210~290
(250±40)</v>
      </c>
      <c r="G88" s="783">
        <f t="shared" si="73"/>
        <v>241.24</v>
      </c>
      <c r="H88" s="783">
        <f t="shared" si="74"/>
        <v>14.296319999999985</v>
      </c>
      <c r="I88" s="788" t="str">
        <f t="shared" si="75"/>
        <v>L</v>
      </c>
      <c r="J88" s="783">
        <f t="shared" si="76"/>
        <v>237.98000000000002</v>
      </c>
      <c r="K88" s="783">
        <f t="shared" si="77"/>
        <v>19.616639999999972</v>
      </c>
      <c r="L88" s="788" t="str">
        <f t="shared" si="78"/>
        <v>L</v>
      </c>
      <c r="M88" s="783">
        <f t="shared" si="79"/>
        <v>0</v>
      </c>
      <c r="N88" s="783">
        <f t="shared" si="80"/>
        <v>0</v>
      </c>
      <c r="O88" s="788">
        <f t="shared" si="81"/>
        <v>0</v>
      </c>
      <c r="P88" s="783">
        <f t="shared" si="82"/>
        <v>0</v>
      </c>
      <c r="Q88" s="783">
        <f t="shared" si="83"/>
        <v>0</v>
      </c>
      <c r="R88" s="788">
        <f t="shared" si="84"/>
        <v>0</v>
      </c>
      <c r="S88" s="783">
        <f t="shared" si="85"/>
        <v>0</v>
      </c>
      <c r="T88" s="776">
        <f t="shared" si="86"/>
        <v>0</v>
      </c>
      <c r="U88" s="777">
        <f t="shared" si="87"/>
        <v>0</v>
      </c>
      <c r="V88" s="783">
        <f t="shared" si="88"/>
        <v>0</v>
      </c>
      <c r="W88" s="776">
        <f t="shared" si="89"/>
        <v>0</v>
      </c>
      <c r="X88" s="777">
        <f t="shared" si="90"/>
        <v>0</v>
      </c>
      <c r="Z88" s="315" t="b">
        <f t="shared" si="92"/>
        <v>1</v>
      </c>
      <c r="AA88" s="315" t="b">
        <f t="shared" si="93"/>
        <v>1</v>
      </c>
      <c r="AB88" s="315" t="b">
        <f t="shared" si="94"/>
        <v>1</v>
      </c>
      <c r="AC88" s="315" t="b">
        <f t="shared" si="95"/>
        <v>1</v>
      </c>
      <c r="AD88" s="315" t="b">
        <f t="shared" si="96"/>
        <v>1</v>
      </c>
      <c r="AE88" s="315" t="b">
        <f t="shared" si="97"/>
        <v>1</v>
      </c>
      <c r="AF88" s="315" t="b">
        <f t="shared" si="98"/>
        <v>1</v>
      </c>
      <c r="AG88" s="315" t="b">
        <f t="shared" si="99"/>
        <v>1</v>
      </c>
      <c r="AH88" s="315" t="b">
        <f t="shared" si="100"/>
        <v>1</v>
      </c>
      <c r="AI88" s="315" t="b">
        <f t="shared" si="101"/>
        <v>1</v>
      </c>
      <c r="AJ88" s="315" t="b">
        <f t="shared" si="102"/>
        <v>1</v>
      </c>
      <c r="AK88" s="315" t="b">
        <f t="shared" si="103"/>
        <v>1</v>
      </c>
      <c r="AL88" s="809" t="str">
        <f t="shared" si="104"/>
        <v/>
      </c>
      <c r="AM88" s="810" t="str">
        <f t="shared" si="105"/>
        <v/>
      </c>
      <c r="AN88" s="810" t="str">
        <f t="shared" si="106"/>
        <v/>
      </c>
      <c r="AO88" s="810" t="str">
        <f t="shared" si="107"/>
        <v/>
      </c>
      <c r="AP88" s="810" t="str">
        <f t="shared" si="108"/>
        <v/>
      </c>
      <c r="AQ88" s="810" t="str">
        <f t="shared" si="109"/>
        <v/>
      </c>
      <c r="AR88" s="810" t="str">
        <f t="shared" si="110"/>
        <v/>
      </c>
      <c r="AS88" s="810" t="str">
        <f t="shared" si="111"/>
        <v/>
      </c>
      <c r="AT88" s="810" t="str">
        <f t="shared" si="112"/>
        <v/>
      </c>
      <c r="AU88" s="810" t="str">
        <f t="shared" si="113"/>
        <v/>
      </c>
      <c r="AV88" s="810" t="str">
        <f t="shared" si="114"/>
        <v/>
      </c>
      <c r="AW88" s="814" t="str">
        <f t="shared" si="114"/>
        <v/>
      </c>
    </row>
    <row r="89" spans="1:49">
      <c r="A89" s="794" t="str">
        <f t="shared" si="91"/>
        <v>Ca 1,</v>
      </c>
      <c r="B89" s="314" t="s">
        <v>533</v>
      </c>
      <c r="C89" s="314" t="str">
        <f t="shared" si="115"/>
        <v>陽極處理槽  dương cực  H2SO4 (18)</v>
      </c>
      <c r="D89" s="314" t="str">
        <f t="shared" si="116"/>
        <v>DC-000A</v>
      </c>
      <c r="E89" s="314" t="str">
        <f t="shared" si="117"/>
        <v>g/L</v>
      </c>
      <c r="F89" s="314" t="str">
        <f t="shared" si="118"/>
        <v>120~150
(135±15)</v>
      </c>
      <c r="G89" s="783">
        <f t="shared" si="73"/>
        <v>123.75</v>
      </c>
      <c r="H89" s="783">
        <f t="shared" si="74"/>
        <v>10.8</v>
      </c>
      <c r="I89" s="788" t="str">
        <f t="shared" si="75"/>
        <v>kg</v>
      </c>
      <c r="J89" s="783">
        <f t="shared" si="76"/>
        <v>122.50000000000001</v>
      </c>
      <c r="K89" s="783">
        <f t="shared" si="77"/>
        <v>12.959999999999974</v>
      </c>
      <c r="L89" s="788" t="str">
        <f t="shared" si="78"/>
        <v>kg</v>
      </c>
      <c r="M89" s="783">
        <f t="shared" si="79"/>
        <v>0</v>
      </c>
      <c r="N89" s="783">
        <f t="shared" si="80"/>
        <v>0</v>
      </c>
      <c r="O89" s="788">
        <f t="shared" si="81"/>
        <v>0</v>
      </c>
      <c r="P89" s="783">
        <f t="shared" si="82"/>
        <v>0</v>
      </c>
      <c r="Q89" s="783">
        <f t="shared" si="83"/>
        <v>0</v>
      </c>
      <c r="R89" s="788">
        <f t="shared" si="84"/>
        <v>0</v>
      </c>
      <c r="S89" s="783">
        <f t="shared" si="85"/>
        <v>0</v>
      </c>
      <c r="T89" s="776">
        <f t="shared" si="86"/>
        <v>0</v>
      </c>
      <c r="U89" s="777">
        <f t="shared" si="87"/>
        <v>0</v>
      </c>
      <c r="V89" s="783">
        <f t="shared" si="88"/>
        <v>0</v>
      </c>
      <c r="W89" s="776">
        <f t="shared" si="89"/>
        <v>0</v>
      </c>
      <c r="X89" s="777">
        <f t="shared" si="90"/>
        <v>0</v>
      </c>
      <c r="Z89" s="315" t="b">
        <f t="shared" si="92"/>
        <v>1</v>
      </c>
      <c r="AA89" s="315" t="b">
        <f t="shared" si="93"/>
        <v>1</v>
      </c>
      <c r="AB89" s="315" t="b">
        <f t="shared" si="94"/>
        <v>1</v>
      </c>
      <c r="AC89" s="315" t="b">
        <f t="shared" si="95"/>
        <v>1</v>
      </c>
      <c r="AD89" s="315" t="b">
        <f t="shared" si="96"/>
        <v>1</v>
      </c>
      <c r="AE89" s="315" t="b">
        <f t="shared" si="97"/>
        <v>1</v>
      </c>
      <c r="AF89" s="315" t="b">
        <f t="shared" si="98"/>
        <v>1</v>
      </c>
      <c r="AG89" s="315" t="b">
        <f t="shared" si="99"/>
        <v>1</v>
      </c>
      <c r="AH89" s="315" t="b">
        <f t="shared" si="100"/>
        <v>1</v>
      </c>
      <c r="AI89" s="315" t="b">
        <f t="shared" si="101"/>
        <v>1</v>
      </c>
      <c r="AJ89" s="315" t="b">
        <f t="shared" si="102"/>
        <v>1</v>
      </c>
      <c r="AK89" s="315" t="b">
        <f t="shared" si="103"/>
        <v>1</v>
      </c>
      <c r="AL89" s="809" t="str">
        <f t="shared" si="104"/>
        <v/>
      </c>
      <c r="AM89" s="810" t="str">
        <f t="shared" si="105"/>
        <v/>
      </c>
      <c r="AN89" s="810" t="str">
        <f t="shared" si="106"/>
        <v/>
      </c>
      <c r="AO89" s="810" t="str">
        <f t="shared" si="107"/>
        <v/>
      </c>
      <c r="AP89" s="810" t="str">
        <f t="shared" si="108"/>
        <v/>
      </c>
      <c r="AQ89" s="810" t="str">
        <f t="shared" si="109"/>
        <v/>
      </c>
      <c r="AR89" s="810" t="str">
        <f t="shared" si="110"/>
        <v/>
      </c>
      <c r="AS89" s="810" t="str">
        <f t="shared" si="111"/>
        <v/>
      </c>
      <c r="AT89" s="810" t="str">
        <f t="shared" si="112"/>
        <v/>
      </c>
      <c r="AU89" s="810" t="str">
        <f t="shared" si="113"/>
        <v/>
      </c>
      <c r="AV89" s="810" t="str">
        <f t="shared" si="114"/>
        <v/>
      </c>
      <c r="AW89" s="814" t="str">
        <f t="shared" si="114"/>
        <v/>
      </c>
    </row>
    <row r="90" spans="1:49">
      <c r="A90" s="794" t="str">
        <f t="shared" si="91"/>
        <v>Ca 1,</v>
      </c>
      <c r="B90" s="314" t="s">
        <v>535</v>
      </c>
      <c r="C90" s="314" t="str">
        <f t="shared" si="115"/>
        <v>陽極處理槽 dương cực Al3+ (18)</v>
      </c>
      <c r="D90" s="314" t="str">
        <f t="shared" si="116"/>
        <v>DC-000A</v>
      </c>
      <c r="E90" s="314" t="str">
        <f t="shared" si="117"/>
        <v>g/L</v>
      </c>
      <c r="F90" s="314" t="str">
        <f t="shared" si="118"/>
        <v>1~5
(3±1.5)</v>
      </c>
      <c r="G90" s="783">
        <f t="shared" si="73"/>
        <v>2.1250000000000013</v>
      </c>
      <c r="H90" s="783">
        <f t="shared" si="74"/>
        <v>0</v>
      </c>
      <c r="I90" s="788" t="str">
        <f t="shared" si="75"/>
        <v>kg</v>
      </c>
      <c r="J90" s="783">
        <f t="shared" si="76"/>
        <v>2.2500000000000009</v>
      </c>
      <c r="K90" s="783">
        <f t="shared" si="77"/>
        <v>0</v>
      </c>
      <c r="L90" s="788" t="str">
        <f t="shared" si="78"/>
        <v>kg</v>
      </c>
      <c r="M90" s="783">
        <f t="shared" si="79"/>
        <v>0</v>
      </c>
      <c r="N90" s="783">
        <f t="shared" si="80"/>
        <v>0</v>
      </c>
      <c r="O90" s="788">
        <f t="shared" si="81"/>
        <v>0</v>
      </c>
      <c r="P90" s="783">
        <f t="shared" si="82"/>
        <v>0</v>
      </c>
      <c r="Q90" s="783">
        <f t="shared" si="83"/>
        <v>0</v>
      </c>
      <c r="R90" s="788">
        <f t="shared" si="84"/>
        <v>0</v>
      </c>
      <c r="S90" s="783">
        <f t="shared" si="85"/>
        <v>0</v>
      </c>
      <c r="T90" s="776">
        <f t="shared" si="86"/>
        <v>0</v>
      </c>
      <c r="U90" s="777">
        <f t="shared" si="87"/>
        <v>0</v>
      </c>
      <c r="V90" s="783">
        <f t="shared" si="88"/>
        <v>0</v>
      </c>
      <c r="W90" s="776">
        <f t="shared" si="89"/>
        <v>0</v>
      </c>
      <c r="X90" s="777">
        <f t="shared" si="90"/>
        <v>0</v>
      </c>
      <c r="Z90" s="315" t="b">
        <f t="shared" si="92"/>
        <v>1</v>
      </c>
      <c r="AA90" s="315" t="b">
        <f t="shared" si="93"/>
        <v>1</v>
      </c>
      <c r="AB90" s="315" t="b">
        <f t="shared" si="94"/>
        <v>1</v>
      </c>
      <c r="AC90" s="315" t="b">
        <f t="shared" si="95"/>
        <v>1</v>
      </c>
      <c r="AD90" s="315" t="b">
        <f t="shared" si="96"/>
        <v>1</v>
      </c>
      <c r="AE90" s="315" t="b">
        <f t="shared" si="97"/>
        <v>1</v>
      </c>
      <c r="AF90" s="315" t="b">
        <f t="shared" si="98"/>
        <v>1</v>
      </c>
      <c r="AG90" s="315" t="b">
        <f t="shared" si="99"/>
        <v>1</v>
      </c>
      <c r="AH90" s="315" t="b">
        <f t="shared" si="100"/>
        <v>1</v>
      </c>
      <c r="AI90" s="315" t="b">
        <f t="shared" si="101"/>
        <v>1</v>
      </c>
      <c r="AJ90" s="315" t="b">
        <f t="shared" si="102"/>
        <v>1</v>
      </c>
      <c r="AK90" s="315" t="b">
        <f t="shared" si="103"/>
        <v>1</v>
      </c>
      <c r="AL90" s="809" t="str">
        <f t="shared" si="104"/>
        <v/>
      </c>
      <c r="AM90" s="810" t="str">
        <f t="shared" si="105"/>
        <v/>
      </c>
      <c r="AN90" s="810" t="str">
        <f t="shared" si="106"/>
        <v/>
      </c>
      <c r="AO90" s="810" t="str">
        <f t="shared" si="107"/>
        <v/>
      </c>
      <c r="AP90" s="810" t="str">
        <f t="shared" si="108"/>
        <v/>
      </c>
      <c r="AQ90" s="810" t="str">
        <f t="shared" si="109"/>
        <v/>
      </c>
      <c r="AR90" s="810" t="str">
        <f t="shared" si="110"/>
        <v/>
      </c>
      <c r="AS90" s="810" t="str">
        <f t="shared" si="111"/>
        <v/>
      </c>
      <c r="AT90" s="810" t="str">
        <f t="shared" si="112"/>
        <v/>
      </c>
      <c r="AU90" s="810" t="str">
        <f t="shared" si="113"/>
        <v/>
      </c>
      <c r="AV90" s="810" t="str">
        <f t="shared" si="114"/>
        <v/>
      </c>
      <c r="AW90" s="814" t="str">
        <f t="shared" si="114"/>
        <v/>
      </c>
    </row>
    <row r="91" spans="1:49">
      <c r="A91" s="794" t="str">
        <f t="shared" si="91"/>
        <v>Ca 1,</v>
      </c>
      <c r="B91" s="314" t="s">
        <v>537</v>
      </c>
      <c r="C91" s="314" t="str">
        <f t="shared" si="115"/>
        <v>陽極處理槽  dương cực  H2SO4 (19)</v>
      </c>
      <c r="D91" s="314" t="str">
        <f t="shared" si="116"/>
        <v>DC-000A</v>
      </c>
      <c r="E91" s="314" t="str">
        <f t="shared" si="117"/>
        <v>g/L</v>
      </c>
      <c r="F91" s="314" t="str">
        <f t="shared" si="118"/>
        <v>120~150
(135±15)</v>
      </c>
      <c r="G91" s="783">
        <f t="shared" si="73"/>
        <v>122.50000000000001</v>
      </c>
      <c r="H91" s="783">
        <f t="shared" si="74"/>
        <v>12.959999999999974</v>
      </c>
      <c r="I91" s="788" t="str">
        <f t="shared" si="75"/>
        <v>kg</v>
      </c>
      <c r="J91" s="783">
        <f t="shared" si="76"/>
        <v>123.75</v>
      </c>
      <c r="K91" s="783">
        <f t="shared" si="77"/>
        <v>10.8</v>
      </c>
      <c r="L91" s="788" t="str">
        <f t="shared" si="78"/>
        <v>kg</v>
      </c>
      <c r="M91" s="783">
        <f t="shared" si="79"/>
        <v>0</v>
      </c>
      <c r="N91" s="783">
        <f t="shared" si="80"/>
        <v>0</v>
      </c>
      <c r="O91" s="788">
        <f t="shared" si="81"/>
        <v>0</v>
      </c>
      <c r="P91" s="783">
        <f t="shared" si="82"/>
        <v>0</v>
      </c>
      <c r="Q91" s="783">
        <f t="shared" si="83"/>
        <v>0</v>
      </c>
      <c r="R91" s="788">
        <f t="shared" si="84"/>
        <v>0</v>
      </c>
      <c r="S91" s="783">
        <f t="shared" si="85"/>
        <v>0</v>
      </c>
      <c r="T91" s="776">
        <f t="shared" si="86"/>
        <v>0</v>
      </c>
      <c r="U91" s="777">
        <f t="shared" si="87"/>
        <v>0</v>
      </c>
      <c r="V91" s="783">
        <f t="shared" si="88"/>
        <v>0</v>
      </c>
      <c r="W91" s="776">
        <f t="shared" si="89"/>
        <v>0</v>
      </c>
      <c r="X91" s="777">
        <f t="shared" si="90"/>
        <v>0</v>
      </c>
      <c r="Z91" s="315" t="b">
        <f t="shared" si="92"/>
        <v>1</v>
      </c>
      <c r="AA91" s="315" t="b">
        <f t="shared" si="93"/>
        <v>1</v>
      </c>
      <c r="AB91" s="315" t="b">
        <f t="shared" si="94"/>
        <v>1</v>
      </c>
      <c r="AC91" s="315" t="b">
        <f t="shared" si="95"/>
        <v>1</v>
      </c>
      <c r="AD91" s="315" t="b">
        <f t="shared" si="96"/>
        <v>1</v>
      </c>
      <c r="AE91" s="315" t="b">
        <f t="shared" si="97"/>
        <v>1</v>
      </c>
      <c r="AF91" s="315" t="b">
        <f t="shared" si="98"/>
        <v>1</v>
      </c>
      <c r="AG91" s="315" t="b">
        <f t="shared" si="99"/>
        <v>1</v>
      </c>
      <c r="AH91" s="315" t="b">
        <f t="shared" si="100"/>
        <v>1</v>
      </c>
      <c r="AI91" s="315" t="b">
        <f t="shared" si="101"/>
        <v>1</v>
      </c>
      <c r="AJ91" s="315" t="b">
        <f t="shared" si="102"/>
        <v>1</v>
      </c>
      <c r="AK91" s="315" t="b">
        <f t="shared" si="103"/>
        <v>1</v>
      </c>
      <c r="AL91" s="809" t="str">
        <f t="shared" si="104"/>
        <v/>
      </c>
      <c r="AM91" s="810" t="str">
        <f t="shared" si="105"/>
        <v/>
      </c>
      <c r="AN91" s="810" t="str">
        <f t="shared" si="106"/>
        <v/>
      </c>
      <c r="AO91" s="810" t="str">
        <f t="shared" si="107"/>
        <v/>
      </c>
      <c r="AP91" s="810" t="str">
        <f t="shared" si="108"/>
        <v/>
      </c>
      <c r="AQ91" s="810" t="str">
        <f t="shared" si="109"/>
        <v/>
      </c>
      <c r="AR91" s="810" t="str">
        <f t="shared" si="110"/>
        <v/>
      </c>
      <c r="AS91" s="810" t="str">
        <f t="shared" si="111"/>
        <v/>
      </c>
      <c r="AT91" s="810" t="str">
        <f t="shared" si="112"/>
        <v/>
      </c>
      <c r="AU91" s="810" t="str">
        <f t="shared" si="113"/>
        <v/>
      </c>
      <c r="AV91" s="810" t="str">
        <f t="shared" si="114"/>
        <v/>
      </c>
      <c r="AW91" s="814" t="str">
        <f t="shared" si="114"/>
        <v/>
      </c>
    </row>
    <row r="92" spans="1:49">
      <c r="A92" s="794" t="str">
        <f t="shared" si="91"/>
        <v>Ca 1,</v>
      </c>
      <c r="B92" s="314" t="s">
        <v>538</v>
      </c>
      <c r="C92" s="314" t="str">
        <f t="shared" si="115"/>
        <v>陽極處理槽 dương cực Al3+ (19)</v>
      </c>
      <c r="D92" s="314" t="str">
        <f t="shared" si="116"/>
        <v>DC-000A</v>
      </c>
      <c r="E92" s="314" t="str">
        <f t="shared" si="117"/>
        <v>g/L</v>
      </c>
      <c r="F92" s="314" t="str">
        <f t="shared" si="118"/>
        <v>1~5
(3±1.5)</v>
      </c>
      <c r="G92" s="783">
        <f t="shared" si="73"/>
        <v>2.1250000000000013</v>
      </c>
      <c r="H92" s="783">
        <f t="shared" si="74"/>
        <v>0</v>
      </c>
      <c r="I92" s="788" t="str">
        <f t="shared" si="75"/>
        <v>kg</v>
      </c>
      <c r="J92" s="783">
        <f t="shared" si="76"/>
        <v>2.6250000000000009</v>
      </c>
      <c r="K92" s="783">
        <f t="shared" si="77"/>
        <v>0</v>
      </c>
      <c r="L92" s="788" t="str">
        <f t="shared" si="78"/>
        <v>kg</v>
      </c>
      <c r="M92" s="783">
        <f t="shared" si="79"/>
        <v>0</v>
      </c>
      <c r="N92" s="783">
        <f t="shared" si="80"/>
        <v>0</v>
      </c>
      <c r="O92" s="788">
        <f t="shared" si="81"/>
        <v>0</v>
      </c>
      <c r="P92" s="783">
        <f t="shared" si="82"/>
        <v>0</v>
      </c>
      <c r="Q92" s="783">
        <f t="shared" si="83"/>
        <v>0</v>
      </c>
      <c r="R92" s="788">
        <f t="shared" si="84"/>
        <v>0</v>
      </c>
      <c r="S92" s="783">
        <f t="shared" si="85"/>
        <v>0</v>
      </c>
      <c r="T92" s="776">
        <f t="shared" si="86"/>
        <v>0</v>
      </c>
      <c r="U92" s="777">
        <f t="shared" si="87"/>
        <v>0</v>
      </c>
      <c r="V92" s="783">
        <f t="shared" si="88"/>
        <v>0</v>
      </c>
      <c r="W92" s="776">
        <f t="shared" si="89"/>
        <v>0</v>
      </c>
      <c r="X92" s="777">
        <f t="shared" si="90"/>
        <v>0</v>
      </c>
      <c r="Z92" s="315" t="b">
        <f t="shared" si="92"/>
        <v>1</v>
      </c>
      <c r="AA92" s="315" t="b">
        <f t="shared" si="93"/>
        <v>1</v>
      </c>
      <c r="AB92" s="315" t="b">
        <f t="shared" si="94"/>
        <v>1</v>
      </c>
      <c r="AC92" s="315" t="b">
        <f t="shared" si="95"/>
        <v>1</v>
      </c>
      <c r="AD92" s="315" t="b">
        <f t="shared" si="96"/>
        <v>1</v>
      </c>
      <c r="AE92" s="315" t="b">
        <f t="shared" si="97"/>
        <v>1</v>
      </c>
      <c r="AF92" s="315" t="b">
        <f t="shared" si="98"/>
        <v>1</v>
      </c>
      <c r="AG92" s="315" t="b">
        <f t="shared" si="99"/>
        <v>1</v>
      </c>
      <c r="AH92" s="315" t="b">
        <f t="shared" si="100"/>
        <v>1</v>
      </c>
      <c r="AI92" s="315" t="b">
        <f t="shared" si="101"/>
        <v>1</v>
      </c>
      <c r="AJ92" s="315" t="b">
        <f t="shared" si="102"/>
        <v>1</v>
      </c>
      <c r="AK92" s="315" t="b">
        <f t="shared" si="103"/>
        <v>1</v>
      </c>
      <c r="AL92" s="809" t="str">
        <f t="shared" si="104"/>
        <v/>
      </c>
      <c r="AM92" s="810" t="str">
        <f t="shared" si="105"/>
        <v/>
      </c>
      <c r="AN92" s="810" t="str">
        <f t="shared" si="106"/>
        <v/>
      </c>
      <c r="AO92" s="810" t="str">
        <f t="shared" si="107"/>
        <v/>
      </c>
      <c r="AP92" s="810" t="str">
        <f t="shared" si="108"/>
        <v/>
      </c>
      <c r="AQ92" s="810" t="str">
        <f t="shared" si="109"/>
        <v/>
      </c>
      <c r="AR92" s="810" t="str">
        <f t="shared" si="110"/>
        <v/>
      </c>
      <c r="AS92" s="810" t="str">
        <f t="shared" si="111"/>
        <v/>
      </c>
      <c r="AT92" s="810" t="str">
        <f t="shared" si="112"/>
        <v/>
      </c>
      <c r="AU92" s="810" t="str">
        <f t="shared" si="113"/>
        <v/>
      </c>
      <c r="AV92" s="810" t="str">
        <f t="shared" si="114"/>
        <v/>
      </c>
      <c r="AW92" s="814" t="str">
        <f t="shared" si="114"/>
        <v/>
      </c>
    </row>
    <row r="93" spans="1:49">
      <c r="A93" s="794" t="str">
        <f t="shared" si="91"/>
        <v>Ca 1,</v>
      </c>
      <c r="B93" s="314" t="s">
        <v>539</v>
      </c>
      <c r="C93" s="314" t="str">
        <f t="shared" si="115"/>
        <v>陽極處理槽  dương cực  H2SO4 (20)</v>
      </c>
      <c r="D93" s="314" t="str">
        <f t="shared" si="116"/>
        <v>DC-000A</v>
      </c>
      <c r="E93" s="314" t="str">
        <f t="shared" si="117"/>
        <v>g/L</v>
      </c>
      <c r="F93" s="314" t="str">
        <f t="shared" si="118"/>
        <v>120~150
(135±15)</v>
      </c>
      <c r="G93" s="783">
        <f t="shared" si="73"/>
        <v>122.50000000000001</v>
      </c>
      <c r="H93" s="783">
        <f t="shared" si="74"/>
        <v>12.959999999999974</v>
      </c>
      <c r="I93" s="788" t="str">
        <f t="shared" si="75"/>
        <v>kg</v>
      </c>
      <c r="J93" s="783">
        <f t="shared" si="76"/>
        <v>121.24999999999999</v>
      </c>
      <c r="K93" s="783">
        <f t="shared" si="77"/>
        <v>15.120000000000026</v>
      </c>
      <c r="L93" s="788" t="str">
        <f t="shared" si="78"/>
        <v>kg</v>
      </c>
      <c r="M93" s="783">
        <f t="shared" si="79"/>
        <v>0</v>
      </c>
      <c r="N93" s="783">
        <f t="shared" si="80"/>
        <v>0</v>
      </c>
      <c r="O93" s="788">
        <f t="shared" si="81"/>
        <v>0</v>
      </c>
      <c r="P93" s="783">
        <f t="shared" si="82"/>
        <v>0</v>
      </c>
      <c r="Q93" s="783">
        <f t="shared" si="83"/>
        <v>0</v>
      </c>
      <c r="R93" s="788">
        <f t="shared" si="84"/>
        <v>0</v>
      </c>
      <c r="S93" s="783">
        <f t="shared" si="85"/>
        <v>0</v>
      </c>
      <c r="T93" s="776">
        <f t="shared" si="86"/>
        <v>0</v>
      </c>
      <c r="U93" s="777">
        <f t="shared" si="87"/>
        <v>0</v>
      </c>
      <c r="V93" s="783">
        <f t="shared" si="88"/>
        <v>0</v>
      </c>
      <c r="W93" s="776">
        <f t="shared" si="89"/>
        <v>0</v>
      </c>
      <c r="X93" s="777">
        <f t="shared" si="90"/>
        <v>0</v>
      </c>
      <c r="Z93" s="315" t="b">
        <f t="shared" si="92"/>
        <v>1</v>
      </c>
      <c r="AA93" s="315" t="b">
        <f t="shared" si="93"/>
        <v>1</v>
      </c>
      <c r="AB93" s="315" t="b">
        <f t="shared" si="94"/>
        <v>1</v>
      </c>
      <c r="AC93" s="315" t="b">
        <f t="shared" si="95"/>
        <v>1</v>
      </c>
      <c r="AD93" s="315" t="b">
        <f t="shared" si="96"/>
        <v>1</v>
      </c>
      <c r="AE93" s="315" t="b">
        <f t="shared" si="97"/>
        <v>1</v>
      </c>
      <c r="AF93" s="315" t="b">
        <f t="shared" si="98"/>
        <v>1</v>
      </c>
      <c r="AG93" s="315" t="b">
        <f t="shared" si="99"/>
        <v>1</v>
      </c>
      <c r="AH93" s="315" t="b">
        <f t="shared" si="100"/>
        <v>1</v>
      </c>
      <c r="AI93" s="315" t="b">
        <f t="shared" si="101"/>
        <v>1</v>
      </c>
      <c r="AJ93" s="315" t="b">
        <f t="shared" si="102"/>
        <v>1</v>
      </c>
      <c r="AK93" s="315" t="b">
        <f t="shared" si="103"/>
        <v>1</v>
      </c>
      <c r="AL93" s="809" t="str">
        <f t="shared" si="104"/>
        <v/>
      </c>
      <c r="AM93" s="810" t="str">
        <f t="shared" si="105"/>
        <v/>
      </c>
      <c r="AN93" s="810" t="str">
        <f t="shared" si="106"/>
        <v/>
      </c>
      <c r="AO93" s="810" t="str">
        <f t="shared" si="107"/>
        <v/>
      </c>
      <c r="AP93" s="810" t="str">
        <f t="shared" si="108"/>
        <v/>
      </c>
      <c r="AQ93" s="810" t="str">
        <f t="shared" si="109"/>
        <v/>
      </c>
      <c r="AR93" s="810" t="str">
        <f t="shared" si="110"/>
        <v/>
      </c>
      <c r="AS93" s="810" t="str">
        <f t="shared" si="111"/>
        <v/>
      </c>
      <c r="AT93" s="810" t="str">
        <f t="shared" si="112"/>
        <v/>
      </c>
      <c r="AU93" s="810" t="str">
        <f t="shared" si="113"/>
        <v/>
      </c>
      <c r="AV93" s="810" t="str">
        <f t="shared" si="114"/>
        <v/>
      </c>
      <c r="AW93" s="814" t="str">
        <f t="shared" si="114"/>
        <v/>
      </c>
    </row>
    <row r="94" spans="1:49">
      <c r="A94" s="794" t="str">
        <f t="shared" si="91"/>
        <v>Ca 1,</v>
      </c>
      <c r="B94" s="314" t="s">
        <v>540</v>
      </c>
      <c r="C94" s="314" t="str">
        <f t="shared" si="115"/>
        <v>陽極處理槽 dương cực Al3+ (20)</v>
      </c>
      <c r="D94" s="314" t="str">
        <f t="shared" si="116"/>
        <v>DC-000A</v>
      </c>
      <c r="E94" s="314" t="str">
        <f t="shared" si="117"/>
        <v>g/L</v>
      </c>
      <c r="F94" s="314" t="str">
        <f t="shared" si="118"/>
        <v>1~5
(3±1.5)</v>
      </c>
      <c r="G94" s="783">
        <f t="shared" si="73"/>
        <v>2.1250000000000013</v>
      </c>
      <c r="H94" s="783">
        <f t="shared" si="74"/>
        <v>0</v>
      </c>
      <c r="I94" s="788" t="str">
        <f t="shared" si="75"/>
        <v>kg</v>
      </c>
      <c r="J94" s="783">
        <f t="shared" si="76"/>
        <v>2.1249999999999991</v>
      </c>
      <c r="K94" s="783">
        <f t="shared" si="77"/>
        <v>0</v>
      </c>
      <c r="L94" s="788" t="str">
        <f t="shared" si="78"/>
        <v>kg</v>
      </c>
      <c r="M94" s="783">
        <f t="shared" si="79"/>
        <v>0</v>
      </c>
      <c r="N94" s="783">
        <f t="shared" si="80"/>
        <v>0</v>
      </c>
      <c r="O94" s="788">
        <f t="shared" si="81"/>
        <v>0</v>
      </c>
      <c r="P94" s="783">
        <f t="shared" si="82"/>
        <v>0</v>
      </c>
      <c r="Q94" s="783">
        <f t="shared" si="83"/>
        <v>0</v>
      </c>
      <c r="R94" s="788">
        <f t="shared" si="84"/>
        <v>0</v>
      </c>
      <c r="S94" s="783">
        <f t="shared" si="85"/>
        <v>0</v>
      </c>
      <c r="T94" s="776">
        <f t="shared" si="86"/>
        <v>0</v>
      </c>
      <c r="U94" s="777">
        <f t="shared" si="87"/>
        <v>0</v>
      </c>
      <c r="V94" s="783">
        <f t="shared" si="88"/>
        <v>0</v>
      </c>
      <c r="W94" s="776">
        <f t="shared" si="89"/>
        <v>0</v>
      </c>
      <c r="X94" s="777">
        <f t="shared" si="90"/>
        <v>0</v>
      </c>
      <c r="Z94" s="315" t="b">
        <f t="shared" si="92"/>
        <v>1</v>
      </c>
      <c r="AA94" s="315" t="b">
        <f t="shared" si="93"/>
        <v>1</v>
      </c>
      <c r="AB94" s="315" t="b">
        <f t="shared" si="94"/>
        <v>1</v>
      </c>
      <c r="AC94" s="315" t="b">
        <f t="shared" si="95"/>
        <v>1</v>
      </c>
      <c r="AD94" s="315" t="b">
        <f t="shared" si="96"/>
        <v>1</v>
      </c>
      <c r="AE94" s="315" t="b">
        <f t="shared" si="97"/>
        <v>1</v>
      </c>
      <c r="AF94" s="315" t="b">
        <f t="shared" si="98"/>
        <v>1</v>
      </c>
      <c r="AG94" s="315" t="b">
        <f t="shared" si="99"/>
        <v>1</v>
      </c>
      <c r="AH94" s="315" t="b">
        <f t="shared" si="100"/>
        <v>1</v>
      </c>
      <c r="AI94" s="315" t="b">
        <f t="shared" si="101"/>
        <v>1</v>
      </c>
      <c r="AJ94" s="315" t="b">
        <f t="shared" si="102"/>
        <v>1</v>
      </c>
      <c r="AK94" s="315" t="b">
        <f t="shared" si="103"/>
        <v>1</v>
      </c>
      <c r="AL94" s="809" t="str">
        <f t="shared" si="104"/>
        <v/>
      </c>
      <c r="AM94" s="810" t="str">
        <f t="shared" si="105"/>
        <v/>
      </c>
      <c r="AN94" s="810" t="str">
        <f t="shared" si="106"/>
        <v/>
      </c>
      <c r="AO94" s="810" t="str">
        <f t="shared" si="107"/>
        <v/>
      </c>
      <c r="AP94" s="810" t="str">
        <f t="shared" si="108"/>
        <v/>
      </c>
      <c r="AQ94" s="810" t="str">
        <f t="shared" si="109"/>
        <v/>
      </c>
      <c r="AR94" s="810" t="str">
        <f t="shared" si="110"/>
        <v/>
      </c>
      <c r="AS94" s="810" t="str">
        <f t="shared" si="111"/>
        <v/>
      </c>
      <c r="AT94" s="810" t="str">
        <f t="shared" si="112"/>
        <v/>
      </c>
      <c r="AU94" s="810" t="str">
        <f t="shared" si="113"/>
        <v/>
      </c>
      <c r="AV94" s="810" t="str">
        <f t="shared" si="114"/>
        <v/>
      </c>
      <c r="AW94" s="814" t="str">
        <f t="shared" si="114"/>
        <v/>
      </c>
    </row>
    <row r="95" spans="1:49">
      <c r="A95" s="794" t="str">
        <f t="shared" si="91"/>
        <v>Ca 1,</v>
      </c>
      <c r="B95" s="314" t="s">
        <v>541</v>
      </c>
      <c r="C95" s="314" t="str">
        <f t="shared" si="115"/>
        <v>封孔 Đóng lỗ  (HK-101A1)</v>
      </c>
      <c r="D95" s="314" t="str">
        <f t="shared" si="116"/>
        <v>DC-000A</v>
      </c>
      <c r="E95" s="314" t="str">
        <f t="shared" si="117"/>
        <v>g/L</v>
      </c>
      <c r="F95" s="314" t="str">
        <f t="shared" si="118"/>
        <v>8~12
(10±1)</v>
      </c>
      <c r="G95" s="783">
        <f t="shared" si="73"/>
        <v>8.2160000000000011</v>
      </c>
      <c r="H95" s="783">
        <f t="shared" si="74"/>
        <v>3.0827519999999979</v>
      </c>
      <c r="I95" s="788" t="str">
        <f t="shared" si="75"/>
        <v>kg</v>
      </c>
      <c r="J95" s="783">
        <f t="shared" si="76"/>
        <v>8.2160000000000011</v>
      </c>
      <c r="K95" s="783">
        <f t="shared" si="77"/>
        <v>3.0827519999999979</v>
      </c>
      <c r="L95" s="788" t="str">
        <f t="shared" si="78"/>
        <v>kg</v>
      </c>
      <c r="M95" s="783">
        <f t="shared" si="79"/>
        <v>0</v>
      </c>
      <c r="N95" s="783">
        <f t="shared" si="80"/>
        <v>0</v>
      </c>
      <c r="O95" s="788">
        <f t="shared" si="81"/>
        <v>0</v>
      </c>
      <c r="P95" s="783">
        <f t="shared" si="82"/>
        <v>0</v>
      </c>
      <c r="Q95" s="783">
        <f t="shared" si="83"/>
        <v>0</v>
      </c>
      <c r="R95" s="788">
        <f t="shared" si="84"/>
        <v>0</v>
      </c>
      <c r="S95" s="783">
        <f t="shared" si="85"/>
        <v>0</v>
      </c>
      <c r="T95" s="776">
        <f t="shared" si="86"/>
        <v>0</v>
      </c>
      <c r="U95" s="777">
        <f t="shared" si="87"/>
        <v>0</v>
      </c>
      <c r="V95" s="783">
        <f t="shared" si="88"/>
        <v>0</v>
      </c>
      <c r="W95" s="776">
        <f t="shared" si="89"/>
        <v>0</v>
      </c>
      <c r="X95" s="777">
        <f t="shared" si="90"/>
        <v>0</v>
      </c>
      <c r="Z95" s="315" t="b">
        <f t="shared" si="92"/>
        <v>1</v>
      </c>
      <c r="AA95" s="315" t="b">
        <f t="shared" si="93"/>
        <v>1</v>
      </c>
      <c r="AB95" s="315" t="b">
        <f t="shared" si="94"/>
        <v>1</v>
      </c>
      <c r="AC95" s="315" t="b">
        <f t="shared" si="95"/>
        <v>1</v>
      </c>
      <c r="AD95" s="315" t="b">
        <f t="shared" si="96"/>
        <v>1</v>
      </c>
      <c r="AE95" s="315" t="b">
        <f t="shared" si="97"/>
        <v>1</v>
      </c>
      <c r="AF95" s="315" t="b">
        <f t="shared" si="98"/>
        <v>1</v>
      </c>
      <c r="AG95" s="315" t="b">
        <f t="shared" si="99"/>
        <v>1</v>
      </c>
      <c r="AH95" s="315" t="b">
        <f t="shared" si="100"/>
        <v>1</v>
      </c>
      <c r="AI95" s="315" t="b">
        <f t="shared" si="101"/>
        <v>1</v>
      </c>
      <c r="AJ95" s="315" t="b">
        <f t="shared" si="102"/>
        <v>1</v>
      </c>
      <c r="AK95" s="315" t="b">
        <f t="shared" si="103"/>
        <v>1</v>
      </c>
      <c r="AL95" s="809" t="str">
        <f t="shared" si="104"/>
        <v/>
      </c>
      <c r="AM95" s="810" t="str">
        <f t="shared" si="105"/>
        <v/>
      </c>
      <c r="AN95" s="810" t="str">
        <f t="shared" si="106"/>
        <v/>
      </c>
      <c r="AO95" s="810" t="str">
        <f t="shared" si="107"/>
        <v/>
      </c>
      <c r="AP95" s="810" t="str">
        <f t="shared" si="108"/>
        <v/>
      </c>
      <c r="AQ95" s="810" t="str">
        <f t="shared" si="109"/>
        <v/>
      </c>
      <c r="AR95" s="810" t="str">
        <f t="shared" si="110"/>
        <v/>
      </c>
      <c r="AS95" s="810" t="str">
        <f t="shared" si="111"/>
        <v/>
      </c>
      <c r="AT95" s="810" t="str">
        <f t="shared" si="112"/>
        <v/>
      </c>
      <c r="AU95" s="810" t="str">
        <f t="shared" si="113"/>
        <v/>
      </c>
      <c r="AV95" s="810" t="str">
        <f t="shared" si="114"/>
        <v/>
      </c>
      <c r="AW95" s="814" t="str">
        <f t="shared" si="114"/>
        <v/>
      </c>
    </row>
    <row r="96" spans="1:49">
      <c r="A96" s="794" t="str">
        <f t="shared" si="91"/>
        <v>Ca 1,</v>
      </c>
      <c r="B96" s="314" t="s">
        <v>544</v>
      </c>
      <c r="C96" s="314" t="str">
        <f t="shared" si="115"/>
        <v>pH</v>
      </c>
      <c r="D96" s="314" t="str">
        <f t="shared" si="116"/>
        <v>DC-000A</v>
      </c>
      <c r="E96" s="314" t="str">
        <f t="shared" si="117"/>
        <v>pH</v>
      </c>
      <c r="F96" s="314" t="str">
        <f t="shared" si="118"/>
        <v>6~8
(7±0.5)</v>
      </c>
      <c r="G96" s="783">
        <f t="shared" si="73"/>
        <v>6.4</v>
      </c>
      <c r="H96" s="783">
        <f t="shared" si="74"/>
        <v>0</v>
      </c>
      <c r="I96" s="788">
        <f t="shared" si="75"/>
        <v>0</v>
      </c>
      <c r="J96" s="783">
        <f t="shared" si="76"/>
        <v>6.1</v>
      </c>
      <c r="K96" s="783">
        <f t="shared" si="77"/>
        <v>0</v>
      </c>
      <c r="L96" s="788">
        <f t="shared" si="78"/>
        <v>0</v>
      </c>
      <c r="M96" s="783">
        <f t="shared" si="79"/>
        <v>0</v>
      </c>
      <c r="N96" s="783">
        <f t="shared" si="80"/>
        <v>0</v>
      </c>
      <c r="O96" s="788">
        <f t="shared" si="81"/>
        <v>0</v>
      </c>
      <c r="P96" s="783">
        <f t="shared" si="82"/>
        <v>0</v>
      </c>
      <c r="Q96" s="783">
        <f t="shared" si="83"/>
        <v>0</v>
      </c>
      <c r="R96" s="788">
        <f t="shared" si="84"/>
        <v>0</v>
      </c>
      <c r="S96" s="783">
        <f t="shared" si="85"/>
        <v>0</v>
      </c>
      <c r="T96" s="776">
        <f t="shared" si="86"/>
        <v>0</v>
      </c>
      <c r="U96" s="777">
        <f t="shared" si="87"/>
        <v>0</v>
      </c>
      <c r="V96" s="783">
        <f t="shared" si="88"/>
        <v>0</v>
      </c>
      <c r="W96" s="776">
        <f t="shared" si="89"/>
        <v>0</v>
      </c>
      <c r="X96" s="777">
        <f t="shared" si="90"/>
        <v>0</v>
      </c>
      <c r="Z96" s="315" t="b">
        <f t="shared" si="92"/>
        <v>1</v>
      </c>
      <c r="AA96" s="315" t="b">
        <f t="shared" si="93"/>
        <v>1</v>
      </c>
      <c r="AB96" s="315" t="b">
        <f t="shared" si="94"/>
        <v>1</v>
      </c>
      <c r="AC96" s="315" t="b">
        <f t="shared" si="95"/>
        <v>1</v>
      </c>
      <c r="AD96" s="315" t="b">
        <f t="shared" si="96"/>
        <v>1</v>
      </c>
      <c r="AE96" s="315" t="b">
        <f t="shared" si="97"/>
        <v>1</v>
      </c>
      <c r="AF96" s="315" t="b">
        <f t="shared" si="98"/>
        <v>1</v>
      </c>
      <c r="AG96" s="315" t="b">
        <f t="shared" si="99"/>
        <v>1</v>
      </c>
      <c r="AH96" s="315" t="b">
        <f t="shared" si="100"/>
        <v>1</v>
      </c>
      <c r="AI96" s="315" t="b">
        <f t="shared" si="101"/>
        <v>1</v>
      </c>
      <c r="AJ96" s="315" t="b">
        <f t="shared" si="102"/>
        <v>1</v>
      </c>
      <c r="AK96" s="315" t="b">
        <f t="shared" si="103"/>
        <v>1</v>
      </c>
      <c r="AL96" s="809" t="str">
        <f t="shared" si="104"/>
        <v/>
      </c>
      <c r="AM96" s="810" t="str">
        <f t="shared" si="105"/>
        <v/>
      </c>
      <c r="AN96" s="810" t="str">
        <f t="shared" si="106"/>
        <v/>
      </c>
      <c r="AO96" s="810" t="str">
        <f t="shared" si="107"/>
        <v/>
      </c>
      <c r="AP96" s="810" t="str">
        <f t="shared" si="108"/>
        <v/>
      </c>
      <c r="AQ96" s="810" t="str">
        <f t="shared" si="109"/>
        <v/>
      </c>
      <c r="AR96" s="810" t="str">
        <f t="shared" si="110"/>
        <v/>
      </c>
      <c r="AS96" s="810" t="str">
        <f t="shared" si="111"/>
        <v/>
      </c>
      <c r="AT96" s="810" t="str">
        <f t="shared" si="112"/>
        <v/>
      </c>
      <c r="AU96" s="810" t="str">
        <f t="shared" si="113"/>
        <v/>
      </c>
      <c r="AV96" s="810" t="str">
        <f t="shared" si="114"/>
        <v/>
      </c>
      <c r="AW96" s="814" t="str">
        <f t="shared" si="114"/>
        <v/>
      </c>
    </row>
    <row r="97" spans="1:49">
      <c r="A97" s="794" t="str">
        <f t="shared" si="91"/>
        <v>Ca 1,</v>
      </c>
      <c r="B97" s="314" t="s">
        <v>546</v>
      </c>
      <c r="C97" s="314" t="str">
        <f t="shared" si="115"/>
        <v xml:space="preserve"> 染色Màu - Black-05</v>
      </c>
      <c r="D97" s="314" t="str">
        <f t="shared" si="116"/>
        <v>DC-000A</v>
      </c>
      <c r="E97" s="314" t="str">
        <f t="shared" si="117"/>
        <v>pH</v>
      </c>
      <c r="F97" s="314" t="str">
        <f t="shared" si="118"/>
        <v>5.5~6.0</v>
      </c>
      <c r="G97" s="783">
        <f t="shared" si="73"/>
        <v>0</v>
      </c>
      <c r="H97" s="783">
        <f t="shared" si="74"/>
        <v>0</v>
      </c>
      <c r="I97" s="788">
        <f t="shared" si="75"/>
        <v>0</v>
      </c>
      <c r="J97" s="783">
        <f t="shared" si="76"/>
        <v>0</v>
      </c>
      <c r="K97" s="783">
        <f t="shared" si="77"/>
        <v>0</v>
      </c>
      <c r="L97" s="788">
        <f t="shared" si="78"/>
        <v>0</v>
      </c>
      <c r="M97" s="783">
        <f t="shared" si="79"/>
        <v>0</v>
      </c>
      <c r="N97" s="783">
        <f t="shared" si="80"/>
        <v>0</v>
      </c>
      <c r="O97" s="788">
        <f t="shared" si="81"/>
        <v>0</v>
      </c>
      <c r="P97" s="783">
        <f t="shared" si="82"/>
        <v>0</v>
      </c>
      <c r="Q97" s="783">
        <f t="shared" si="83"/>
        <v>0</v>
      </c>
      <c r="R97" s="788">
        <f t="shared" si="84"/>
        <v>0</v>
      </c>
      <c r="S97" s="783">
        <f t="shared" si="85"/>
        <v>0</v>
      </c>
      <c r="T97" s="776">
        <f t="shared" si="86"/>
        <v>0</v>
      </c>
      <c r="U97" s="777">
        <f t="shared" si="87"/>
        <v>0</v>
      </c>
      <c r="V97" s="783">
        <f t="shared" si="88"/>
        <v>0</v>
      </c>
      <c r="W97" s="776">
        <f t="shared" si="89"/>
        <v>0</v>
      </c>
      <c r="X97" s="777">
        <f t="shared" si="90"/>
        <v>0</v>
      </c>
      <c r="Z97" s="315" t="b">
        <f t="shared" si="92"/>
        <v>1</v>
      </c>
      <c r="AA97" s="315" t="b">
        <f t="shared" si="93"/>
        <v>1</v>
      </c>
      <c r="AB97" s="315" t="b">
        <f t="shared" si="94"/>
        <v>1</v>
      </c>
      <c r="AC97" s="315" t="b">
        <f t="shared" si="95"/>
        <v>1</v>
      </c>
      <c r="AD97" s="315" t="b">
        <f t="shared" si="96"/>
        <v>1</v>
      </c>
      <c r="AE97" s="315" t="b">
        <f t="shared" si="97"/>
        <v>1</v>
      </c>
      <c r="AF97" s="315" t="b">
        <f t="shared" si="98"/>
        <v>1</v>
      </c>
      <c r="AG97" s="315" t="b">
        <f t="shared" si="99"/>
        <v>1</v>
      </c>
      <c r="AH97" s="315" t="b">
        <f t="shared" si="100"/>
        <v>1</v>
      </c>
      <c r="AI97" s="315" t="b">
        <f t="shared" si="101"/>
        <v>1</v>
      </c>
      <c r="AJ97" s="315" t="b">
        <f t="shared" si="102"/>
        <v>1</v>
      </c>
      <c r="AK97" s="315" t="b">
        <f t="shared" si="103"/>
        <v>1</v>
      </c>
      <c r="AL97" s="809" t="str">
        <f t="shared" si="104"/>
        <v/>
      </c>
      <c r="AM97" s="810" t="str">
        <f t="shared" si="105"/>
        <v/>
      </c>
      <c r="AN97" s="810" t="str">
        <f t="shared" si="106"/>
        <v/>
      </c>
      <c r="AO97" s="810" t="str">
        <f t="shared" si="107"/>
        <v/>
      </c>
      <c r="AP97" s="810" t="str">
        <f t="shared" si="108"/>
        <v/>
      </c>
      <c r="AQ97" s="810" t="str">
        <f t="shared" si="109"/>
        <v/>
      </c>
      <c r="AR97" s="810" t="str">
        <f t="shared" si="110"/>
        <v/>
      </c>
      <c r="AS97" s="810" t="str">
        <f t="shared" si="111"/>
        <v/>
      </c>
      <c r="AT97" s="810" t="str">
        <f t="shared" si="112"/>
        <v/>
      </c>
      <c r="AU97" s="810" t="str">
        <f t="shared" si="113"/>
        <v/>
      </c>
      <c r="AV97" s="810" t="str">
        <f t="shared" si="114"/>
        <v/>
      </c>
      <c r="AW97" s="814" t="str">
        <f t="shared" si="114"/>
        <v/>
      </c>
    </row>
    <row r="98" spans="1:49">
      <c r="A98" s="794" t="str">
        <f t="shared" si="91"/>
        <v>Ca 1,</v>
      </c>
      <c r="B98" s="314" t="s">
        <v>548</v>
      </c>
      <c r="C98" s="314" t="str">
        <f t="shared" si="115"/>
        <v xml:space="preserve"> 染色Màu- Gey-07</v>
      </c>
      <c r="D98" s="314" t="str">
        <f t="shared" si="116"/>
        <v>DC-000A</v>
      </c>
      <c r="E98" s="314" t="str">
        <f t="shared" si="117"/>
        <v>pH</v>
      </c>
      <c r="F98" s="314" t="str">
        <f t="shared" si="118"/>
        <v>5.5~6.0</v>
      </c>
      <c r="G98" s="783">
        <f t="shared" si="73"/>
        <v>0</v>
      </c>
      <c r="H98" s="783">
        <f t="shared" si="74"/>
        <v>0</v>
      </c>
      <c r="I98" s="788">
        <f t="shared" si="75"/>
        <v>0</v>
      </c>
      <c r="J98" s="783">
        <f t="shared" si="76"/>
        <v>0</v>
      </c>
      <c r="K98" s="783">
        <f t="shared" si="77"/>
        <v>0</v>
      </c>
      <c r="L98" s="788">
        <f t="shared" si="78"/>
        <v>0</v>
      </c>
      <c r="M98" s="783">
        <f t="shared" si="79"/>
        <v>0</v>
      </c>
      <c r="N98" s="783">
        <f t="shared" si="80"/>
        <v>0</v>
      </c>
      <c r="O98" s="788">
        <f t="shared" si="81"/>
        <v>0</v>
      </c>
      <c r="P98" s="783">
        <f t="shared" si="82"/>
        <v>0</v>
      </c>
      <c r="Q98" s="783">
        <f t="shared" si="83"/>
        <v>0</v>
      </c>
      <c r="R98" s="788">
        <f t="shared" si="84"/>
        <v>0</v>
      </c>
      <c r="S98" s="783">
        <f t="shared" si="85"/>
        <v>0</v>
      </c>
      <c r="T98" s="776">
        <f t="shared" si="86"/>
        <v>0</v>
      </c>
      <c r="U98" s="777">
        <f t="shared" si="87"/>
        <v>0</v>
      </c>
      <c r="V98" s="783">
        <f t="shared" si="88"/>
        <v>0</v>
      </c>
      <c r="W98" s="776">
        <f t="shared" si="89"/>
        <v>0</v>
      </c>
      <c r="X98" s="777">
        <f t="shared" si="90"/>
        <v>0</v>
      </c>
      <c r="Z98" s="315" t="b">
        <f t="shared" si="92"/>
        <v>1</v>
      </c>
      <c r="AA98" s="315" t="b">
        <f t="shared" si="93"/>
        <v>1</v>
      </c>
      <c r="AB98" s="315" t="b">
        <f t="shared" si="94"/>
        <v>1</v>
      </c>
      <c r="AC98" s="315" t="b">
        <f t="shared" si="95"/>
        <v>1</v>
      </c>
      <c r="AD98" s="315" t="b">
        <f t="shared" si="96"/>
        <v>1</v>
      </c>
      <c r="AE98" s="315" t="b">
        <f t="shared" si="97"/>
        <v>1</v>
      </c>
      <c r="AF98" s="315" t="b">
        <f t="shared" si="98"/>
        <v>1</v>
      </c>
      <c r="AG98" s="315" t="b">
        <f t="shared" si="99"/>
        <v>1</v>
      </c>
      <c r="AH98" s="315" t="b">
        <f t="shared" si="100"/>
        <v>1</v>
      </c>
      <c r="AI98" s="315" t="b">
        <f t="shared" si="101"/>
        <v>1</v>
      </c>
      <c r="AJ98" s="315" t="b">
        <f t="shared" si="102"/>
        <v>1</v>
      </c>
      <c r="AK98" s="315" t="b">
        <f t="shared" si="103"/>
        <v>1</v>
      </c>
      <c r="AL98" s="809" t="str">
        <f t="shared" si="104"/>
        <v/>
      </c>
      <c r="AM98" s="810" t="str">
        <f t="shared" si="105"/>
        <v/>
      </c>
      <c r="AN98" s="810" t="str">
        <f t="shared" si="106"/>
        <v/>
      </c>
      <c r="AO98" s="810" t="str">
        <f t="shared" si="107"/>
        <v/>
      </c>
      <c r="AP98" s="810" t="str">
        <f t="shared" si="108"/>
        <v/>
      </c>
      <c r="AQ98" s="810" t="str">
        <f t="shared" si="109"/>
        <v/>
      </c>
      <c r="AR98" s="810" t="str">
        <f t="shared" si="110"/>
        <v/>
      </c>
      <c r="AS98" s="810" t="str">
        <f t="shared" si="111"/>
        <v/>
      </c>
      <c r="AT98" s="810" t="str">
        <f t="shared" si="112"/>
        <v/>
      </c>
      <c r="AU98" s="810" t="str">
        <f t="shared" si="113"/>
        <v/>
      </c>
      <c r="AV98" s="810" t="str">
        <f t="shared" si="114"/>
        <v/>
      </c>
      <c r="AW98" s="814" t="str">
        <f t="shared" si="114"/>
        <v/>
      </c>
    </row>
    <row r="99" spans="1:49">
      <c r="A99" s="794" t="str">
        <f t="shared" si="91"/>
        <v>Ca 1,</v>
      </c>
      <c r="B99" s="314" t="s">
        <v>550</v>
      </c>
      <c r="C99" s="314" t="str">
        <f t="shared" si="115"/>
        <v xml:space="preserve"> 染色Màu- Black-08</v>
      </c>
      <c r="D99" s="314" t="str">
        <f t="shared" si="116"/>
        <v>DC-000A</v>
      </c>
      <c r="E99" s="314" t="str">
        <f t="shared" si="117"/>
        <v>pH</v>
      </c>
      <c r="F99" s="314" t="str">
        <f t="shared" si="118"/>
        <v>5.5~6.0</v>
      </c>
      <c r="G99" s="783">
        <f t="shared" si="73"/>
        <v>5.5</v>
      </c>
      <c r="H99" s="783">
        <f t="shared" si="74"/>
        <v>0</v>
      </c>
      <c r="I99" s="788">
        <f t="shared" si="75"/>
        <v>0</v>
      </c>
      <c r="J99" s="783">
        <f t="shared" si="76"/>
        <v>5.6</v>
      </c>
      <c r="K99" s="783">
        <f t="shared" si="77"/>
        <v>0</v>
      </c>
      <c r="L99" s="788">
        <f t="shared" si="78"/>
        <v>0</v>
      </c>
      <c r="M99" s="783">
        <f t="shared" si="79"/>
        <v>0</v>
      </c>
      <c r="N99" s="783">
        <f t="shared" si="80"/>
        <v>0</v>
      </c>
      <c r="O99" s="788">
        <f t="shared" si="81"/>
        <v>0</v>
      </c>
      <c r="P99" s="783">
        <f t="shared" si="82"/>
        <v>0</v>
      </c>
      <c r="Q99" s="783">
        <f t="shared" si="83"/>
        <v>0</v>
      </c>
      <c r="R99" s="788">
        <f t="shared" si="84"/>
        <v>0</v>
      </c>
      <c r="S99" s="783">
        <f t="shared" si="85"/>
        <v>0</v>
      </c>
      <c r="T99" s="776">
        <f t="shared" si="86"/>
        <v>0</v>
      </c>
      <c r="U99" s="777">
        <f t="shared" si="87"/>
        <v>0</v>
      </c>
      <c r="V99" s="783">
        <f t="shared" si="88"/>
        <v>0</v>
      </c>
      <c r="W99" s="776">
        <f t="shared" si="89"/>
        <v>0</v>
      </c>
      <c r="X99" s="777">
        <f t="shared" si="90"/>
        <v>0</v>
      </c>
      <c r="Z99" s="315" t="b">
        <f t="shared" si="92"/>
        <v>1</v>
      </c>
      <c r="AA99" s="315" t="b">
        <f t="shared" si="93"/>
        <v>1</v>
      </c>
      <c r="AB99" s="315" t="b">
        <f t="shared" si="94"/>
        <v>1</v>
      </c>
      <c r="AC99" s="315" t="b">
        <f t="shared" si="95"/>
        <v>1</v>
      </c>
      <c r="AD99" s="315" t="b">
        <f t="shared" si="96"/>
        <v>1</v>
      </c>
      <c r="AE99" s="315" t="b">
        <f t="shared" si="97"/>
        <v>1</v>
      </c>
      <c r="AF99" s="315" t="b">
        <f t="shared" si="98"/>
        <v>1</v>
      </c>
      <c r="AG99" s="315" t="b">
        <f t="shared" si="99"/>
        <v>1</v>
      </c>
      <c r="AH99" s="315" t="b">
        <f t="shared" si="100"/>
        <v>1</v>
      </c>
      <c r="AI99" s="315" t="b">
        <f t="shared" si="101"/>
        <v>1</v>
      </c>
      <c r="AJ99" s="315" t="b">
        <f t="shared" si="102"/>
        <v>1</v>
      </c>
      <c r="AK99" s="315" t="b">
        <f t="shared" si="103"/>
        <v>1</v>
      </c>
      <c r="AL99" s="811" t="str">
        <f t="shared" si="104"/>
        <v/>
      </c>
      <c r="AM99" s="812" t="str">
        <f t="shared" si="105"/>
        <v/>
      </c>
      <c r="AN99" s="812" t="str">
        <f t="shared" si="106"/>
        <v/>
      </c>
      <c r="AO99" s="812" t="str">
        <f t="shared" si="107"/>
        <v/>
      </c>
      <c r="AP99" s="812" t="str">
        <f t="shared" si="108"/>
        <v/>
      </c>
      <c r="AQ99" s="812" t="str">
        <f t="shared" si="109"/>
        <v/>
      </c>
      <c r="AR99" s="812" t="str">
        <f t="shared" si="110"/>
        <v/>
      </c>
      <c r="AS99" s="812" t="str">
        <f t="shared" si="111"/>
        <v/>
      </c>
      <c r="AT99" s="812" t="str">
        <f t="shared" si="112"/>
        <v/>
      </c>
      <c r="AU99" s="812" t="str">
        <f t="shared" si="113"/>
        <v/>
      </c>
      <c r="AV99" s="812" t="str">
        <f t="shared" si="114"/>
        <v/>
      </c>
      <c r="AW99" s="815" t="str">
        <f t="shared" si="114"/>
        <v/>
      </c>
    </row>
  </sheetData>
  <phoneticPr fontId="7" type="noConversion"/>
  <pageMargins left="0.7" right="0.7" top="0.75" bottom="0.75" header="0.3" footer="0.3"/>
  <pageSetup paperSize="9" orientation="portrait" verticalDpi="0" r:id="rId1"/>
  <drawing r:id="rId2"/>
</worksheet>
</file>

<file path=xl/worksheets/sheet50.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11" customWidth="1"/>
    <col min="2" max="2" width="13" style="311" customWidth="1"/>
    <col min="3" max="3" width="37" style="311" customWidth="1"/>
    <col min="4" max="5" width="12.625" style="311" customWidth="1"/>
    <col min="6" max="6" width="19.125" style="311" customWidth="1"/>
    <col min="7" max="7" width="12.5" style="312" bestFit="1" customWidth="1"/>
    <col min="8" max="8" width="12.5" style="312" customWidth="1"/>
    <col min="9" max="9" width="13.375" style="312" bestFit="1" customWidth="1"/>
    <col min="10" max="10" width="13.375" style="312" customWidth="1"/>
    <col min="11" max="11" width="13.375" style="312" bestFit="1" customWidth="1"/>
    <col min="12" max="12" width="13.375" style="312" customWidth="1"/>
    <col min="13" max="13" width="15.125" style="312" customWidth="1"/>
    <col min="14" max="14" width="11.75" style="312" customWidth="1"/>
    <col min="15" max="15" width="10.125" style="312" bestFit="1" customWidth="1"/>
    <col min="16" max="16" width="10.125" style="312" customWidth="1"/>
    <col min="17" max="17" width="10.125" style="312" bestFit="1" customWidth="1"/>
    <col min="18" max="18" width="10.125" style="312" customWidth="1"/>
    <col min="19" max="19" width="9" style="308"/>
    <col min="20" max="31" width="0" style="784" hidden="1" customWidth="1"/>
    <col min="32" max="16384" width="9" style="308"/>
  </cols>
  <sheetData>
    <row r="1" spans="1:43" ht="71.45" customHeight="1">
      <c r="A1" s="774" t="s">
        <v>804</v>
      </c>
      <c r="B1" s="767"/>
      <c r="C1" s="767"/>
      <c r="D1" s="767"/>
      <c r="E1" s="767"/>
      <c r="F1" s="767"/>
      <c r="G1" s="767"/>
      <c r="H1" s="767"/>
      <c r="I1" s="767"/>
      <c r="J1" s="767"/>
      <c r="K1" s="767"/>
      <c r="L1" s="767"/>
      <c r="M1" s="767"/>
      <c r="N1" s="767"/>
      <c r="O1" s="767"/>
      <c r="P1" s="767"/>
      <c r="Q1" s="767"/>
      <c r="R1" s="768"/>
    </row>
    <row r="2" spans="1:43" s="771" customFormat="1">
      <c r="A2" s="770" t="s">
        <v>787</v>
      </c>
      <c r="B2" s="770" t="s">
        <v>788</v>
      </c>
      <c r="C2" s="770" t="s">
        <v>319</v>
      </c>
      <c r="D2" s="770" t="s">
        <v>320</v>
      </c>
      <c r="E2" s="770" t="s">
        <v>321</v>
      </c>
      <c r="F2" s="770" t="s">
        <v>322</v>
      </c>
      <c r="G2" s="770" t="s">
        <v>789</v>
      </c>
      <c r="H2" s="770" t="s">
        <v>790</v>
      </c>
      <c r="I2" s="770" t="s">
        <v>791</v>
      </c>
      <c r="J2" s="770" t="s">
        <v>792</v>
      </c>
      <c r="K2" s="770" t="s">
        <v>793</v>
      </c>
      <c r="L2" s="770" t="s">
        <v>794</v>
      </c>
      <c r="M2" s="770" t="s">
        <v>795</v>
      </c>
      <c r="N2" s="770" t="s">
        <v>796</v>
      </c>
      <c r="O2" s="770" t="s">
        <v>797</v>
      </c>
      <c r="P2" s="770" t="s">
        <v>798</v>
      </c>
      <c r="Q2" s="770" t="s">
        <v>799</v>
      </c>
      <c r="R2" s="770" t="s">
        <v>800</v>
      </c>
      <c r="T2" s="780">
        <v>1</v>
      </c>
      <c r="U2" s="780" t="s">
        <v>828</v>
      </c>
      <c r="V2" s="780">
        <v>2</v>
      </c>
      <c r="W2" s="780" t="s">
        <v>828</v>
      </c>
      <c r="X2" s="780">
        <v>3</v>
      </c>
      <c r="Y2" s="780" t="s">
        <v>828</v>
      </c>
      <c r="Z2" s="780">
        <v>4</v>
      </c>
      <c r="AA2" s="780" t="s">
        <v>828</v>
      </c>
      <c r="AB2" s="780">
        <v>5</v>
      </c>
      <c r="AC2" s="780" t="s">
        <v>828</v>
      </c>
      <c r="AD2" s="780">
        <v>6</v>
      </c>
      <c r="AE2" s="780" t="s">
        <v>828</v>
      </c>
      <c r="AF2" s="797">
        <v>1</v>
      </c>
      <c r="AG2" s="797" t="s">
        <v>828</v>
      </c>
      <c r="AH2" s="797">
        <v>2</v>
      </c>
      <c r="AI2" s="797" t="s">
        <v>828</v>
      </c>
      <c r="AJ2" s="797">
        <v>3</v>
      </c>
      <c r="AK2" s="797" t="s">
        <v>828</v>
      </c>
      <c r="AL2" s="797">
        <v>4</v>
      </c>
      <c r="AM2" s="797" t="s">
        <v>828</v>
      </c>
      <c r="AN2" s="797">
        <v>5</v>
      </c>
      <c r="AO2" s="797" t="s">
        <v>828</v>
      </c>
      <c r="AP2" s="797">
        <v>6</v>
      </c>
      <c r="AQ2" s="797" t="s">
        <v>828</v>
      </c>
    </row>
    <row r="3" spans="1:43" s="771" customFormat="1">
      <c r="A3" s="770" t="s">
        <v>787</v>
      </c>
      <c r="B3" s="772" t="s">
        <v>342</v>
      </c>
      <c r="C3" s="772" t="s">
        <v>801</v>
      </c>
      <c r="D3" s="772" t="s">
        <v>344</v>
      </c>
      <c r="E3" s="773" t="s">
        <v>345</v>
      </c>
      <c r="F3" s="773" t="s">
        <v>346</v>
      </c>
      <c r="G3" s="772" t="s">
        <v>802</v>
      </c>
      <c r="H3" s="772" t="s">
        <v>803</v>
      </c>
      <c r="I3" s="772" t="s">
        <v>802</v>
      </c>
      <c r="J3" s="772" t="s">
        <v>803</v>
      </c>
      <c r="K3" s="772" t="s">
        <v>802</v>
      </c>
      <c r="L3" s="772" t="s">
        <v>803</v>
      </c>
      <c r="M3" s="772" t="s">
        <v>802</v>
      </c>
      <c r="N3" s="772" t="s">
        <v>803</v>
      </c>
      <c r="O3" s="772" t="s">
        <v>802</v>
      </c>
      <c r="P3" s="772" t="s">
        <v>803</v>
      </c>
      <c r="Q3" s="772" t="s">
        <v>802</v>
      </c>
      <c r="R3" s="772" t="s">
        <v>803</v>
      </c>
      <c r="T3" s="313"/>
      <c r="U3" s="313"/>
      <c r="V3" s="313"/>
      <c r="W3" s="313"/>
      <c r="X3" s="313"/>
      <c r="Y3" s="313"/>
      <c r="Z3" s="313"/>
      <c r="AA3" s="313"/>
      <c r="AB3" s="313"/>
      <c r="AC3" s="313"/>
      <c r="AD3" s="313"/>
      <c r="AE3" s="313"/>
    </row>
    <row r="4" spans="1:43" s="315" customFormat="1">
      <c r="A4" s="794" t="str">
        <f>'IT.NONG DO'!A4</f>
        <v>Ca 1,</v>
      </c>
      <c r="B4" s="314" t="s">
        <v>251</v>
      </c>
      <c r="C4" s="314" t="str">
        <f t="shared" ref="C4:C27" si="0">IFERROR(VLOOKUP($B4,_XM_XT_THUCTE,3,0),"")</f>
        <v>Nhiệt  độ xà bông nóng (1)
 熱脫脂溫度(1)</v>
      </c>
      <c r="D4" s="314" t="str">
        <f t="shared" ref="D4:D27" si="1">IFERROR(VLOOKUP($B4,_XM_XT_THUCTE,2,0),"")</f>
        <v>XL-001E</v>
      </c>
      <c r="E4" s="314" t="str">
        <f t="shared" ref="E4:E27" si="2">IFERROR(VLOOKUP($B4,_XM_XT_THUCTE,4,0),"")</f>
        <v>0C</v>
      </c>
      <c r="F4" s="314" t="str">
        <f t="shared" ref="F4:F27" si="3">IFERROR(VLOOKUP($B4,_XM_XT_THUCTE,5,0),"")</f>
        <v>50~70</v>
      </c>
      <c r="G4" s="777">
        <f>IFERROR(VLOOKUP($B4,_XM_XT_THUCTE,8,0),"")</f>
        <v>0</v>
      </c>
      <c r="H4" s="777">
        <f t="shared" ref="H4:H27" si="4">IFERROR(VLOOKUP($B4,_XM_XT_THUCTE,11,0),"")</f>
        <v>0</v>
      </c>
      <c r="I4" s="777">
        <f t="shared" ref="I4:I27" si="5">IFERROR(VLOOKUP($B4,_XM_XT_THUCTE,14,0),"")</f>
        <v>0</v>
      </c>
      <c r="J4" s="777">
        <f t="shared" ref="J4:J27" si="6">IFERROR(VLOOKUP($B4,_XM_XT_THUCTE,17,0),"")</f>
        <v>0</v>
      </c>
      <c r="K4" s="777">
        <f t="shared" ref="K4:K27" si="7">IFERROR(VLOOKUP($B4,_XM_XT_THUCTE,20,0),"")</f>
        <v>0</v>
      </c>
      <c r="L4" s="777">
        <f t="shared" ref="L4:L27" si="8">IFERROR(VLOOKUP($B4,_XM_XT_THUCTE,23,0),"")</f>
        <v>62</v>
      </c>
      <c r="M4" s="777">
        <f t="shared" ref="M4:M27" si="9">IFERROR(VLOOKUP($B4,_XM_XT_THUCTE,26,0),"")</f>
        <v>62</v>
      </c>
      <c r="N4" s="777">
        <f t="shared" ref="N4:N27" si="10">IFERROR(VLOOKUP($B4,_XM_XT_THUCTE,29,0),"")</f>
        <v>0</v>
      </c>
      <c r="O4" s="777">
        <f t="shared" ref="O4:O27" si="11">IFERROR(VLOOKUP($B4,_XM_XT_THUCTE,32,0),"")</f>
        <v>0</v>
      </c>
      <c r="P4" s="777">
        <f t="shared" ref="P4:P27" si="12">IFERROR(VLOOKUP($B4,_XM_XT_THUCTE,35,0),"")</f>
        <v>0</v>
      </c>
      <c r="Q4" s="777">
        <f t="shared" ref="Q4:Q27" si="13">IFERROR(VLOOKUP($B4,_XM_XT_THUCTE,38,0),"")</f>
        <v>0</v>
      </c>
      <c r="R4" s="777">
        <f t="shared" ref="R4:R27" si="14">IFERROR(VLOOKUP($B4,_XM_XT_THUCTE,41,0),"")</f>
        <v>0</v>
      </c>
      <c r="T4" s="784" t="b">
        <f>ISNUMBER(G4)</f>
        <v>1</v>
      </c>
      <c r="U4" s="784" t="b">
        <f t="shared" ref="U4:AE19" si="15">ISNUMBER(H4)</f>
        <v>1</v>
      </c>
      <c r="V4" s="784" t="b">
        <f t="shared" si="15"/>
        <v>1</v>
      </c>
      <c r="W4" s="784" t="b">
        <f t="shared" si="15"/>
        <v>1</v>
      </c>
      <c r="X4" s="784" t="b">
        <f t="shared" si="15"/>
        <v>1</v>
      </c>
      <c r="Y4" s="784" t="b">
        <f t="shared" si="15"/>
        <v>1</v>
      </c>
      <c r="Z4" s="784" t="b">
        <f t="shared" si="15"/>
        <v>1</v>
      </c>
      <c r="AA4" s="784" t="b">
        <f t="shared" si="15"/>
        <v>1</v>
      </c>
      <c r="AB4" s="784" t="b">
        <f t="shared" si="15"/>
        <v>1</v>
      </c>
      <c r="AC4" s="784" t="b">
        <f t="shared" si="15"/>
        <v>1</v>
      </c>
      <c r="AD4" s="784" t="b">
        <f t="shared" si="15"/>
        <v>1</v>
      </c>
      <c r="AE4" s="784" t="b">
        <f t="shared" si="15"/>
        <v>1</v>
      </c>
      <c r="AF4" s="798" t="str">
        <f>IF(T4=TRUE,"",1)</f>
        <v/>
      </c>
      <c r="AG4" s="799" t="str">
        <f t="shared" ref="AG4:AQ4" si="16">IF(U4=TRUE,"",1)</f>
        <v/>
      </c>
      <c r="AH4" s="799" t="str">
        <f t="shared" si="16"/>
        <v/>
      </c>
      <c r="AI4" s="799" t="str">
        <f t="shared" si="16"/>
        <v/>
      </c>
      <c r="AJ4" s="799" t="str">
        <f t="shared" si="16"/>
        <v/>
      </c>
      <c r="AK4" s="799" t="str">
        <f t="shared" si="16"/>
        <v/>
      </c>
      <c r="AL4" s="799" t="str">
        <f t="shared" si="16"/>
        <v/>
      </c>
      <c r="AM4" s="799" t="str">
        <f t="shared" si="16"/>
        <v/>
      </c>
      <c r="AN4" s="799" t="str">
        <f t="shared" si="16"/>
        <v/>
      </c>
      <c r="AO4" s="799" t="str">
        <f t="shared" si="16"/>
        <v/>
      </c>
      <c r="AP4" s="799" t="str">
        <f t="shared" si="16"/>
        <v/>
      </c>
      <c r="AQ4" s="800" t="str">
        <f t="shared" si="16"/>
        <v/>
      </c>
    </row>
    <row r="5" spans="1:43" s="315" customFormat="1">
      <c r="A5" s="794" t="str">
        <f>IF(B5="","",$A$4)</f>
        <v>Ca 1,</v>
      </c>
      <c r="B5" s="314" t="s">
        <v>252</v>
      </c>
      <c r="C5" s="314" t="str">
        <f t="shared" si="0"/>
        <v>Nhiệt  độ xà bông nóng (2)
 熱脫脂溫度(2)</v>
      </c>
      <c r="D5" s="314" t="str">
        <f t="shared" si="1"/>
        <v>XL-001E</v>
      </c>
      <c r="E5" s="314" t="str">
        <f t="shared" si="2"/>
        <v>0C</v>
      </c>
      <c r="F5" s="314" t="str">
        <f t="shared" si="3"/>
        <v>50~70</v>
      </c>
      <c r="G5" s="777">
        <f t="shared" ref="G5:G27" si="17">IFERROR(VLOOKUP($B5,_XM_XT_THUCTE,8,0),"")</f>
        <v>0</v>
      </c>
      <c r="H5" s="777">
        <f t="shared" si="4"/>
        <v>0</v>
      </c>
      <c r="I5" s="777">
        <f t="shared" si="5"/>
        <v>0</v>
      </c>
      <c r="J5" s="777">
        <f t="shared" si="6"/>
        <v>0</v>
      </c>
      <c r="K5" s="777">
        <f t="shared" si="7"/>
        <v>0</v>
      </c>
      <c r="L5" s="777">
        <f t="shared" si="8"/>
        <v>60</v>
      </c>
      <c r="M5" s="777">
        <f t="shared" si="9"/>
        <v>60</v>
      </c>
      <c r="N5" s="777">
        <f t="shared" si="10"/>
        <v>0</v>
      </c>
      <c r="O5" s="777">
        <f t="shared" si="11"/>
        <v>0</v>
      </c>
      <c r="P5" s="777">
        <f t="shared" si="12"/>
        <v>0</v>
      </c>
      <c r="Q5" s="777">
        <f t="shared" si="13"/>
        <v>0</v>
      </c>
      <c r="R5" s="777">
        <f t="shared" si="14"/>
        <v>0</v>
      </c>
      <c r="T5" s="784" t="b">
        <f t="shared" ref="T5:AE39" si="18">ISNUMBER(G5)</f>
        <v>1</v>
      </c>
      <c r="U5" s="784" t="b">
        <f t="shared" si="15"/>
        <v>1</v>
      </c>
      <c r="V5" s="784" t="b">
        <f t="shared" si="15"/>
        <v>1</v>
      </c>
      <c r="W5" s="784" t="b">
        <f t="shared" si="15"/>
        <v>1</v>
      </c>
      <c r="X5" s="784" t="b">
        <f t="shared" si="15"/>
        <v>1</v>
      </c>
      <c r="Y5" s="784" t="b">
        <f t="shared" si="15"/>
        <v>1</v>
      </c>
      <c r="Z5" s="784" t="b">
        <f t="shared" si="15"/>
        <v>1</v>
      </c>
      <c r="AA5" s="784" t="b">
        <f t="shared" si="15"/>
        <v>1</v>
      </c>
      <c r="AB5" s="784" t="b">
        <f t="shared" si="15"/>
        <v>1</v>
      </c>
      <c r="AC5" s="784" t="b">
        <f t="shared" si="15"/>
        <v>1</v>
      </c>
      <c r="AD5" s="784" t="b">
        <f t="shared" si="15"/>
        <v>1</v>
      </c>
      <c r="AE5" s="784" t="b">
        <f t="shared" si="15"/>
        <v>1</v>
      </c>
      <c r="AF5" s="801" t="str">
        <f t="shared" ref="AF5:AF51" si="19">IF(T5=TRUE,"",1)</f>
        <v/>
      </c>
      <c r="AG5" s="802" t="str">
        <f t="shared" ref="AG5:AG51" si="20">IF(U5=TRUE,"",1)</f>
        <v/>
      </c>
      <c r="AH5" s="802" t="str">
        <f t="shared" ref="AH5:AH51" si="21">IF(V5=TRUE,"",1)</f>
        <v/>
      </c>
      <c r="AI5" s="802" t="str">
        <f t="shared" ref="AI5:AI51" si="22">IF(W5=TRUE,"",1)</f>
        <v/>
      </c>
      <c r="AJ5" s="802" t="str">
        <f t="shared" ref="AJ5:AJ51" si="23">IF(X5=TRUE,"",1)</f>
        <v/>
      </c>
      <c r="AK5" s="802" t="str">
        <f t="shared" ref="AK5:AK51" si="24">IF(Y5=TRUE,"",1)</f>
        <v/>
      </c>
      <c r="AL5" s="802" t="str">
        <f t="shared" ref="AL5:AL51" si="25">IF(Z5=TRUE,"",1)</f>
        <v/>
      </c>
      <c r="AM5" s="802" t="str">
        <f t="shared" ref="AM5:AM51" si="26">IF(AA5=TRUE,"",1)</f>
        <v/>
      </c>
      <c r="AN5" s="802" t="str">
        <f t="shared" ref="AN5:AN51" si="27">IF(AB5=TRUE,"",1)</f>
        <v/>
      </c>
      <c r="AO5" s="802" t="str">
        <f t="shared" ref="AO5:AO51" si="28">IF(AC5=TRUE,"",1)</f>
        <v/>
      </c>
      <c r="AP5" s="802" t="str">
        <f t="shared" ref="AP5:AP51" si="29">IF(AD5=TRUE,"",1)</f>
        <v/>
      </c>
      <c r="AQ5" s="803" t="str">
        <f t="shared" ref="AQ5:AQ51" si="30">IF(AE5=TRUE,"",1)</f>
        <v/>
      </c>
    </row>
    <row r="6" spans="1:43" s="315" customFormat="1">
      <c r="A6" s="794" t="str">
        <f t="shared" ref="A6:A40" si="31">IF(B6="","",$A$4)</f>
        <v>Ca 1,</v>
      </c>
      <c r="B6" s="314" t="s">
        <v>253</v>
      </c>
      <c r="C6" s="314" t="str">
        <f t="shared" si="0"/>
        <v>Nhiệt độ điện giải (1) 
電解1 溫度</v>
      </c>
      <c r="D6" s="314" t="str">
        <f t="shared" si="1"/>
        <v>XL-001E</v>
      </c>
      <c r="E6" s="314" t="str">
        <f t="shared" si="2"/>
        <v>0C</v>
      </c>
      <c r="F6" s="314" t="str">
        <f t="shared" si="3"/>
        <v>40~60</v>
      </c>
      <c r="G6" s="777">
        <f t="shared" si="17"/>
        <v>0</v>
      </c>
      <c r="H6" s="777">
        <f t="shared" si="4"/>
        <v>0</v>
      </c>
      <c r="I6" s="777">
        <f t="shared" si="5"/>
        <v>0</v>
      </c>
      <c r="J6" s="777">
        <f t="shared" si="6"/>
        <v>0</v>
      </c>
      <c r="K6" s="777">
        <f t="shared" si="7"/>
        <v>0</v>
      </c>
      <c r="L6" s="777">
        <f t="shared" si="8"/>
        <v>53</v>
      </c>
      <c r="M6" s="777">
        <f t="shared" si="9"/>
        <v>53</v>
      </c>
      <c r="N6" s="777">
        <f t="shared" si="10"/>
        <v>0</v>
      </c>
      <c r="O6" s="777">
        <f t="shared" si="11"/>
        <v>0</v>
      </c>
      <c r="P6" s="777">
        <f t="shared" si="12"/>
        <v>0</v>
      </c>
      <c r="Q6" s="777">
        <f t="shared" si="13"/>
        <v>0</v>
      </c>
      <c r="R6" s="777">
        <f t="shared" si="14"/>
        <v>0</v>
      </c>
      <c r="T6" s="784" t="b">
        <f t="shared" si="18"/>
        <v>1</v>
      </c>
      <c r="U6" s="784" t="b">
        <f t="shared" si="15"/>
        <v>1</v>
      </c>
      <c r="V6" s="784" t="b">
        <f t="shared" si="15"/>
        <v>1</v>
      </c>
      <c r="W6" s="784" t="b">
        <f t="shared" si="15"/>
        <v>1</v>
      </c>
      <c r="X6" s="784" t="b">
        <f t="shared" si="15"/>
        <v>1</v>
      </c>
      <c r="Y6" s="784" t="b">
        <f t="shared" si="15"/>
        <v>1</v>
      </c>
      <c r="Z6" s="784" t="b">
        <f t="shared" si="15"/>
        <v>1</v>
      </c>
      <c r="AA6" s="784" t="b">
        <f t="shared" si="15"/>
        <v>1</v>
      </c>
      <c r="AB6" s="784" t="b">
        <f t="shared" si="15"/>
        <v>1</v>
      </c>
      <c r="AC6" s="784" t="b">
        <f t="shared" si="15"/>
        <v>1</v>
      </c>
      <c r="AD6" s="784" t="b">
        <f t="shared" si="15"/>
        <v>1</v>
      </c>
      <c r="AE6" s="784" t="b">
        <f t="shared" si="15"/>
        <v>1</v>
      </c>
      <c r="AF6" s="801" t="str">
        <f t="shared" si="19"/>
        <v/>
      </c>
      <c r="AG6" s="802" t="str">
        <f t="shared" si="20"/>
        <v/>
      </c>
      <c r="AH6" s="802" t="str">
        <f t="shared" si="21"/>
        <v/>
      </c>
      <c r="AI6" s="802" t="str">
        <f t="shared" si="22"/>
        <v/>
      </c>
      <c r="AJ6" s="802" t="str">
        <f t="shared" si="23"/>
        <v/>
      </c>
      <c r="AK6" s="802" t="str">
        <f t="shared" si="24"/>
        <v/>
      </c>
      <c r="AL6" s="802" t="str">
        <f t="shared" si="25"/>
        <v/>
      </c>
      <c r="AM6" s="802" t="str">
        <f t="shared" si="26"/>
        <v/>
      </c>
      <c r="AN6" s="802" t="str">
        <f t="shared" si="27"/>
        <v/>
      </c>
      <c r="AO6" s="802" t="str">
        <f t="shared" si="28"/>
        <v/>
      </c>
      <c r="AP6" s="802" t="str">
        <f t="shared" si="29"/>
        <v/>
      </c>
      <c r="AQ6" s="803" t="str">
        <f t="shared" si="30"/>
        <v/>
      </c>
    </row>
    <row r="7" spans="1:43" s="315" customFormat="1">
      <c r="A7" s="794" t="str">
        <f t="shared" si="31"/>
        <v>Ca 1,</v>
      </c>
      <c r="B7" s="314" t="s">
        <v>254</v>
      </c>
      <c r="C7" s="314" t="str">
        <f t="shared" si="0"/>
        <v>Nhiệt độ điện giải (2)
電解 2 溫度</v>
      </c>
      <c r="D7" s="314" t="str">
        <f t="shared" si="1"/>
        <v>XL-001E</v>
      </c>
      <c r="E7" s="314" t="str">
        <f t="shared" si="2"/>
        <v>0C</v>
      </c>
      <c r="F7" s="314" t="str">
        <f t="shared" si="3"/>
        <v>40~60</v>
      </c>
      <c r="G7" s="777">
        <f t="shared" si="17"/>
        <v>0</v>
      </c>
      <c r="H7" s="777">
        <f t="shared" si="4"/>
        <v>0</v>
      </c>
      <c r="I7" s="777">
        <f t="shared" si="5"/>
        <v>0</v>
      </c>
      <c r="J7" s="777">
        <f t="shared" si="6"/>
        <v>0</v>
      </c>
      <c r="K7" s="777">
        <f t="shared" si="7"/>
        <v>0</v>
      </c>
      <c r="L7" s="777">
        <f t="shared" si="8"/>
        <v>54</v>
      </c>
      <c r="M7" s="777">
        <f t="shared" si="9"/>
        <v>54</v>
      </c>
      <c r="N7" s="777">
        <f t="shared" si="10"/>
        <v>0</v>
      </c>
      <c r="O7" s="777">
        <f t="shared" si="11"/>
        <v>0</v>
      </c>
      <c r="P7" s="777">
        <f t="shared" si="12"/>
        <v>0</v>
      </c>
      <c r="Q7" s="777">
        <f t="shared" si="13"/>
        <v>0</v>
      </c>
      <c r="R7" s="777">
        <f t="shared" si="14"/>
        <v>0</v>
      </c>
      <c r="T7" s="784" t="b">
        <f t="shared" si="18"/>
        <v>1</v>
      </c>
      <c r="U7" s="784" t="b">
        <f t="shared" si="15"/>
        <v>1</v>
      </c>
      <c r="V7" s="784" t="b">
        <f t="shared" si="15"/>
        <v>1</v>
      </c>
      <c r="W7" s="784" t="b">
        <f t="shared" si="15"/>
        <v>1</v>
      </c>
      <c r="X7" s="784" t="b">
        <f t="shared" si="15"/>
        <v>1</v>
      </c>
      <c r="Y7" s="784" t="b">
        <f t="shared" si="15"/>
        <v>1</v>
      </c>
      <c r="Z7" s="784" t="b">
        <f t="shared" si="15"/>
        <v>1</v>
      </c>
      <c r="AA7" s="784" t="b">
        <f t="shared" si="15"/>
        <v>1</v>
      </c>
      <c r="AB7" s="784" t="b">
        <f t="shared" si="15"/>
        <v>1</v>
      </c>
      <c r="AC7" s="784" t="b">
        <f t="shared" si="15"/>
        <v>1</v>
      </c>
      <c r="AD7" s="784" t="b">
        <f t="shared" si="15"/>
        <v>1</v>
      </c>
      <c r="AE7" s="784" t="b">
        <f t="shared" si="15"/>
        <v>1</v>
      </c>
      <c r="AF7" s="801" t="str">
        <f t="shared" si="19"/>
        <v/>
      </c>
      <c r="AG7" s="802" t="str">
        <f t="shared" si="20"/>
        <v/>
      </c>
      <c r="AH7" s="802" t="str">
        <f t="shared" si="21"/>
        <v/>
      </c>
      <c r="AI7" s="802" t="str">
        <f t="shared" si="22"/>
        <v/>
      </c>
      <c r="AJ7" s="802" t="str">
        <f t="shared" si="23"/>
        <v/>
      </c>
      <c r="AK7" s="802" t="str">
        <f t="shared" si="24"/>
        <v/>
      </c>
      <c r="AL7" s="802" t="str">
        <f t="shared" si="25"/>
        <v/>
      </c>
      <c r="AM7" s="802" t="str">
        <f t="shared" si="26"/>
        <v/>
      </c>
      <c r="AN7" s="802" t="str">
        <f t="shared" si="27"/>
        <v/>
      </c>
      <c r="AO7" s="802" t="str">
        <f t="shared" si="28"/>
        <v/>
      </c>
      <c r="AP7" s="802" t="str">
        <f t="shared" si="29"/>
        <v/>
      </c>
      <c r="AQ7" s="803" t="str">
        <f t="shared" si="30"/>
        <v/>
      </c>
    </row>
    <row r="8" spans="1:43" s="315" customFormat="1">
      <c r="A8" s="794" t="str">
        <f t="shared" si="31"/>
        <v>Ca 1,</v>
      </c>
      <c r="B8" s="314" t="s">
        <v>312</v>
      </c>
      <c r="C8" s="314" t="str">
        <f t="shared" si="0"/>
        <v>Nhiệt độ bồn xi
鍍鋅槽溫度</v>
      </c>
      <c r="D8" s="314" t="str">
        <f t="shared" si="1"/>
        <v>XL-001E</v>
      </c>
      <c r="E8" s="314" t="str">
        <f t="shared" si="2"/>
        <v>0C</v>
      </c>
      <c r="F8" s="314" t="str">
        <f t="shared" si="3"/>
        <v>20~35</v>
      </c>
      <c r="G8" s="777">
        <f t="shared" si="17"/>
        <v>0</v>
      </c>
      <c r="H8" s="777">
        <f t="shared" si="4"/>
        <v>0</v>
      </c>
      <c r="I8" s="777">
        <f t="shared" si="5"/>
        <v>0</v>
      </c>
      <c r="J8" s="777">
        <f t="shared" si="6"/>
        <v>0</v>
      </c>
      <c r="K8" s="777">
        <f t="shared" si="7"/>
        <v>0</v>
      </c>
      <c r="L8" s="777">
        <f t="shared" si="8"/>
        <v>26</v>
      </c>
      <c r="M8" s="777">
        <f t="shared" si="9"/>
        <v>26</v>
      </c>
      <c r="N8" s="777">
        <f t="shared" si="10"/>
        <v>0</v>
      </c>
      <c r="O8" s="777">
        <f t="shared" si="11"/>
        <v>0</v>
      </c>
      <c r="P8" s="777">
        <f t="shared" si="12"/>
        <v>0</v>
      </c>
      <c r="Q8" s="777">
        <f t="shared" si="13"/>
        <v>0</v>
      </c>
      <c r="R8" s="777">
        <f t="shared" si="14"/>
        <v>0</v>
      </c>
      <c r="T8" s="784" t="b">
        <f t="shared" si="18"/>
        <v>1</v>
      </c>
      <c r="U8" s="784" t="b">
        <f t="shared" si="15"/>
        <v>1</v>
      </c>
      <c r="V8" s="784" t="b">
        <f t="shared" si="15"/>
        <v>1</v>
      </c>
      <c r="W8" s="784" t="b">
        <f t="shared" si="15"/>
        <v>1</v>
      </c>
      <c r="X8" s="784" t="b">
        <f t="shared" si="15"/>
        <v>1</v>
      </c>
      <c r="Y8" s="784" t="b">
        <f t="shared" si="15"/>
        <v>1</v>
      </c>
      <c r="Z8" s="784" t="b">
        <f t="shared" si="15"/>
        <v>1</v>
      </c>
      <c r="AA8" s="784" t="b">
        <f t="shared" si="15"/>
        <v>1</v>
      </c>
      <c r="AB8" s="784" t="b">
        <f t="shared" si="15"/>
        <v>1</v>
      </c>
      <c r="AC8" s="784" t="b">
        <f t="shared" si="15"/>
        <v>1</v>
      </c>
      <c r="AD8" s="784" t="b">
        <f t="shared" si="15"/>
        <v>1</v>
      </c>
      <c r="AE8" s="784" t="b">
        <f t="shared" si="15"/>
        <v>1</v>
      </c>
      <c r="AF8" s="801" t="str">
        <f t="shared" si="19"/>
        <v/>
      </c>
      <c r="AG8" s="802" t="str">
        <f t="shared" si="20"/>
        <v/>
      </c>
      <c r="AH8" s="802" t="str">
        <f t="shared" si="21"/>
        <v/>
      </c>
      <c r="AI8" s="802" t="str">
        <f t="shared" si="22"/>
        <v/>
      </c>
      <c r="AJ8" s="802" t="str">
        <f t="shared" si="23"/>
        <v/>
      </c>
      <c r="AK8" s="802" t="str">
        <f t="shared" si="24"/>
        <v/>
      </c>
      <c r="AL8" s="802" t="str">
        <f t="shared" si="25"/>
        <v/>
      </c>
      <c r="AM8" s="802" t="str">
        <f t="shared" si="26"/>
        <v/>
      </c>
      <c r="AN8" s="802" t="str">
        <f t="shared" si="27"/>
        <v/>
      </c>
      <c r="AO8" s="802" t="str">
        <f t="shared" si="28"/>
        <v/>
      </c>
      <c r="AP8" s="802" t="str">
        <f t="shared" si="29"/>
        <v/>
      </c>
      <c r="AQ8" s="803" t="str">
        <f t="shared" si="30"/>
        <v/>
      </c>
    </row>
    <row r="9" spans="1:43" s="315" customFormat="1">
      <c r="A9" s="794" t="str">
        <f t="shared" si="31"/>
        <v>Ca 1,</v>
      </c>
      <c r="B9" s="314" t="s">
        <v>255</v>
      </c>
      <c r="C9" s="314" t="str">
        <f t="shared" si="0"/>
        <v>Nhiệt độ bồn màu Cr2O3
三價鉻 溫度</v>
      </c>
      <c r="D9" s="314" t="str">
        <f t="shared" si="1"/>
        <v>XL-001E</v>
      </c>
      <c r="E9" s="314" t="str">
        <f t="shared" si="2"/>
        <v>0C</v>
      </c>
      <c r="F9" s="314" t="str">
        <f t="shared" si="3"/>
        <v>30~40</v>
      </c>
      <c r="G9" s="777">
        <f t="shared" si="17"/>
        <v>0</v>
      </c>
      <c r="H9" s="777">
        <f t="shared" si="4"/>
        <v>0</v>
      </c>
      <c r="I9" s="777">
        <f t="shared" si="5"/>
        <v>0</v>
      </c>
      <c r="J9" s="777">
        <f t="shared" si="6"/>
        <v>0</v>
      </c>
      <c r="K9" s="777">
        <f t="shared" si="7"/>
        <v>0</v>
      </c>
      <c r="L9" s="777">
        <f t="shared" si="8"/>
        <v>37</v>
      </c>
      <c r="M9" s="777">
        <f t="shared" si="9"/>
        <v>37</v>
      </c>
      <c r="N9" s="777">
        <f t="shared" si="10"/>
        <v>0</v>
      </c>
      <c r="O9" s="777">
        <f t="shared" si="11"/>
        <v>0</v>
      </c>
      <c r="P9" s="777">
        <f t="shared" si="12"/>
        <v>0</v>
      </c>
      <c r="Q9" s="777">
        <f t="shared" si="13"/>
        <v>0</v>
      </c>
      <c r="R9" s="777">
        <f t="shared" si="14"/>
        <v>0</v>
      </c>
      <c r="T9" s="784" t="b">
        <f t="shared" si="18"/>
        <v>1</v>
      </c>
      <c r="U9" s="784" t="b">
        <f t="shared" si="15"/>
        <v>1</v>
      </c>
      <c r="V9" s="784" t="b">
        <f t="shared" si="15"/>
        <v>1</v>
      </c>
      <c r="W9" s="784" t="b">
        <f t="shared" si="15"/>
        <v>1</v>
      </c>
      <c r="X9" s="784" t="b">
        <f t="shared" si="15"/>
        <v>1</v>
      </c>
      <c r="Y9" s="784" t="b">
        <f t="shared" si="15"/>
        <v>1</v>
      </c>
      <c r="Z9" s="784" t="b">
        <f t="shared" si="15"/>
        <v>1</v>
      </c>
      <c r="AA9" s="784" t="b">
        <f t="shared" si="15"/>
        <v>1</v>
      </c>
      <c r="AB9" s="784" t="b">
        <f t="shared" si="15"/>
        <v>1</v>
      </c>
      <c r="AC9" s="784" t="b">
        <f t="shared" si="15"/>
        <v>1</v>
      </c>
      <c r="AD9" s="784" t="b">
        <f t="shared" si="15"/>
        <v>1</v>
      </c>
      <c r="AE9" s="784" t="b">
        <f t="shared" si="15"/>
        <v>1</v>
      </c>
      <c r="AF9" s="801" t="str">
        <f t="shared" si="19"/>
        <v/>
      </c>
      <c r="AG9" s="802" t="str">
        <f t="shared" si="20"/>
        <v/>
      </c>
      <c r="AH9" s="802" t="str">
        <f t="shared" si="21"/>
        <v/>
      </c>
      <c r="AI9" s="802" t="str">
        <f t="shared" si="22"/>
        <v/>
      </c>
      <c r="AJ9" s="802" t="str">
        <f t="shared" si="23"/>
        <v/>
      </c>
      <c r="AK9" s="802" t="str">
        <f t="shared" si="24"/>
        <v/>
      </c>
      <c r="AL9" s="802" t="str">
        <f t="shared" si="25"/>
        <v/>
      </c>
      <c r="AM9" s="802" t="str">
        <f t="shared" si="26"/>
        <v/>
      </c>
      <c r="AN9" s="802" t="str">
        <f t="shared" si="27"/>
        <v/>
      </c>
      <c r="AO9" s="802" t="str">
        <f t="shared" si="28"/>
        <v/>
      </c>
      <c r="AP9" s="802" t="str">
        <f t="shared" si="29"/>
        <v/>
      </c>
      <c r="AQ9" s="803" t="str">
        <f t="shared" si="30"/>
        <v/>
      </c>
    </row>
    <row r="10" spans="1:43" s="315" customFormat="1">
      <c r="A10" s="794" t="str">
        <f t="shared" si="31"/>
        <v>Ca 1,</v>
      </c>
      <c r="B10" s="314" t="s">
        <v>256</v>
      </c>
      <c r="C10" s="314" t="str">
        <f t="shared" si="0"/>
        <v xml:space="preserve">Nhiệt độ bồn nước nóng
熱水溫度 </v>
      </c>
      <c r="D10" s="314" t="str">
        <f t="shared" si="1"/>
        <v>XL-001E</v>
      </c>
      <c r="E10" s="314" t="str">
        <f t="shared" si="2"/>
        <v>0C</v>
      </c>
      <c r="F10" s="314" t="str">
        <f t="shared" si="3"/>
        <v>50~70</v>
      </c>
      <c r="G10" s="777">
        <f t="shared" si="17"/>
        <v>0</v>
      </c>
      <c r="H10" s="777">
        <f t="shared" si="4"/>
        <v>0</v>
      </c>
      <c r="I10" s="777">
        <f t="shared" si="5"/>
        <v>0</v>
      </c>
      <c r="J10" s="777">
        <f t="shared" si="6"/>
        <v>0</v>
      </c>
      <c r="K10" s="777">
        <f t="shared" si="7"/>
        <v>0</v>
      </c>
      <c r="L10" s="777">
        <f t="shared" si="8"/>
        <v>61</v>
      </c>
      <c r="M10" s="777">
        <f t="shared" si="9"/>
        <v>61</v>
      </c>
      <c r="N10" s="777">
        <f t="shared" si="10"/>
        <v>0</v>
      </c>
      <c r="O10" s="777">
        <f t="shared" si="11"/>
        <v>0</v>
      </c>
      <c r="P10" s="777">
        <f t="shared" si="12"/>
        <v>0</v>
      </c>
      <c r="Q10" s="777">
        <f t="shared" si="13"/>
        <v>0</v>
      </c>
      <c r="R10" s="777">
        <f t="shared" si="14"/>
        <v>0</v>
      </c>
      <c r="T10" s="784" t="b">
        <f t="shared" si="18"/>
        <v>1</v>
      </c>
      <c r="U10" s="784" t="b">
        <f t="shared" si="15"/>
        <v>1</v>
      </c>
      <c r="V10" s="784" t="b">
        <f t="shared" si="15"/>
        <v>1</v>
      </c>
      <c r="W10" s="784" t="b">
        <f t="shared" si="15"/>
        <v>1</v>
      </c>
      <c r="X10" s="784" t="b">
        <f t="shared" si="15"/>
        <v>1</v>
      </c>
      <c r="Y10" s="784" t="b">
        <f t="shared" si="15"/>
        <v>1</v>
      </c>
      <c r="Z10" s="784" t="b">
        <f t="shared" si="15"/>
        <v>1</v>
      </c>
      <c r="AA10" s="784" t="b">
        <f t="shared" si="15"/>
        <v>1</v>
      </c>
      <c r="AB10" s="784" t="b">
        <f t="shared" si="15"/>
        <v>1</v>
      </c>
      <c r="AC10" s="784" t="b">
        <f t="shared" si="15"/>
        <v>1</v>
      </c>
      <c r="AD10" s="784" t="b">
        <f t="shared" si="15"/>
        <v>1</v>
      </c>
      <c r="AE10" s="784" t="b">
        <f t="shared" si="15"/>
        <v>1</v>
      </c>
      <c r="AF10" s="801" t="str">
        <f t="shared" si="19"/>
        <v/>
      </c>
      <c r="AG10" s="802" t="str">
        <f t="shared" si="20"/>
        <v/>
      </c>
      <c r="AH10" s="802" t="str">
        <f t="shared" si="21"/>
        <v/>
      </c>
      <c r="AI10" s="802" t="str">
        <f t="shared" si="22"/>
        <v/>
      </c>
      <c r="AJ10" s="802" t="str">
        <f t="shared" si="23"/>
        <v/>
      </c>
      <c r="AK10" s="802" t="str">
        <f t="shared" si="24"/>
        <v/>
      </c>
      <c r="AL10" s="802" t="str">
        <f t="shared" si="25"/>
        <v/>
      </c>
      <c r="AM10" s="802" t="str">
        <f t="shared" si="26"/>
        <v/>
      </c>
      <c r="AN10" s="802" t="str">
        <f t="shared" si="27"/>
        <v/>
      </c>
      <c r="AO10" s="802" t="str">
        <f t="shared" si="28"/>
        <v/>
      </c>
      <c r="AP10" s="802" t="str">
        <f t="shared" si="29"/>
        <v/>
      </c>
      <c r="AQ10" s="803" t="str">
        <f t="shared" si="30"/>
        <v/>
      </c>
    </row>
    <row r="11" spans="1:43" s="315" customFormat="1">
      <c r="A11" s="794" t="str">
        <f t="shared" si="31"/>
        <v>Ca 1,</v>
      </c>
      <c r="B11" s="314" t="s">
        <v>257</v>
      </c>
      <c r="C11" s="314" t="str">
        <f t="shared" si="0"/>
        <v>Sấy khô
烘乾</v>
      </c>
      <c r="D11" s="314" t="str">
        <f t="shared" si="1"/>
        <v>XL-001E</v>
      </c>
      <c r="E11" s="314" t="str">
        <f t="shared" si="2"/>
        <v>0C</v>
      </c>
      <c r="F11" s="314" t="str">
        <f t="shared" si="3"/>
        <v>80~100</v>
      </c>
      <c r="G11" s="777">
        <f t="shared" si="17"/>
        <v>0</v>
      </c>
      <c r="H11" s="777">
        <f t="shared" si="4"/>
        <v>0</v>
      </c>
      <c r="I11" s="777">
        <f t="shared" si="5"/>
        <v>0</v>
      </c>
      <c r="J11" s="777">
        <f t="shared" si="6"/>
        <v>0</v>
      </c>
      <c r="K11" s="777">
        <f t="shared" si="7"/>
        <v>0</v>
      </c>
      <c r="L11" s="777">
        <f t="shared" si="8"/>
        <v>0</v>
      </c>
      <c r="M11" s="777" t="str">
        <f t="shared" si="9"/>
        <v>chưa mở</v>
      </c>
      <c r="N11" s="777">
        <f t="shared" si="10"/>
        <v>0</v>
      </c>
      <c r="O11" s="777">
        <f t="shared" si="11"/>
        <v>0</v>
      </c>
      <c r="P11" s="777">
        <f t="shared" si="12"/>
        <v>0</v>
      </c>
      <c r="Q11" s="777">
        <f t="shared" si="13"/>
        <v>0</v>
      </c>
      <c r="R11" s="777">
        <f t="shared" si="14"/>
        <v>0</v>
      </c>
      <c r="T11" s="784" t="b">
        <f t="shared" si="18"/>
        <v>1</v>
      </c>
      <c r="U11" s="784" t="b">
        <f t="shared" si="15"/>
        <v>1</v>
      </c>
      <c r="V11" s="784" t="b">
        <f t="shared" si="15"/>
        <v>1</v>
      </c>
      <c r="W11" s="784" t="b">
        <f t="shared" si="15"/>
        <v>1</v>
      </c>
      <c r="X11" s="784" t="b">
        <f t="shared" si="15"/>
        <v>1</v>
      </c>
      <c r="Y11" s="784" t="b">
        <f t="shared" si="15"/>
        <v>1</v>
      </c>
      <c r="Z11" s="784" t="b">
        <f t="shared" si="15"/>
        <v>0</v>
      </c>
      <c r="AA11" s="784" t="b">
        <f t="shared" si="15"/>
        <v>1</v>
      </c>
      <c r="AB11" s="784" t="b">
        <f t="shared" si="15"/>
        <v>1</v>
      </c>
      <c r="AC11" s="784" t="b">
        <f t="shared" si="15"/>
        <v>1</v>
      </c>
      <c r="AD11" s="784" t="b">
        <f t="shared" si="15"/>
        <v>1</v>
      </c>
      <c r="AE11" s="784" t="b">
        <f t="shared" si="15"/>
        <v>1</v>
      </c>
      <c r="AF11" s="801" t="str">
        <f t="shared" si="19"/>
        <v/>
      </c>
      <c r="AG11" s="802" t="str">
        <f t="shared" si="20"/>
        <v/>
      </c>
      <c r="AH11" s="802" t="str">
        <f t="shared" si="21"/>
        <v/>
      </c>
      <c r="AI11" s="802" t="str">
        <f t="shared" si="22"/>
        <v/>
      </c>
      <c r="AJ11" s="802" t="str">
        <f t="shared" si="23"/>
        <v/>
      </c>
      <c r="AK11" s="802" t="str">
        <f t="shared" si="24"/>
        <v/>
      </c>
      <c r="AL11" s="802">
        <f t="shared" si="25"/>
        <v>1</v>
      </c>
      <c r="AM11" s="802" t="str">
        <f t="shared" si="26"/>
        <v/>
      </c>
      <c r="AN11" s="802" t="str">
        <f t="shared" si="27"/>
        <v/>
      </c>
      <c r="AO11" s="802" t="str">
        <f t="shared" si="28"/>
        <v/>
      </c>
      <c r="AP11" s="802" t="str">
        <f t="shared" si="29"/>
        <v/>
      </c>
      <c r="AQ11" s="803" t="str">
        <f t="shared" si="30"/>
        <v/>
      </c>
    </row>
    <row r="12" spans="1:43" s="315" customFormat="1">
      <c r="A12" s="794" t="str">
        <f t="shared" si="31"/>
        <v>Ca 1,</v>
      </c>
      <c r="B12" s="314" t="s">
        <v>274</v>
      </c>
      <c r="C12" s="314" t="str">
        <f t="shared" si="0"/>
        <v>Nhiệt  độ xà bông nóng (1)
 熱脫脂溫度(1)</v>
      </c>
      <c r="D12" s="314" t="str">
        <f t="shared" si="1"/>
        <v>XL-001F</v>
      </c>
      <c r="E12" s="314" t="str">
        <f t="shared" si="2"/>
        <v>0C</v>
      </c>
      <c r="F12" s="314" t="str">
        <f t="shared" si="3"/>
        <v>50~70</v>
      </c>
      <c r="G12" s="777">
        <f t="shared" si="17"/>
        <v>0</v>
      </c>
      <c r="H12" s="777">
        <f t="shared" si="4"/>
        <v>0</v>
      </c>
      <c r="I12" s="777">
        <f t="shared" si="5"/>
        <v>0</v>
      </c>
      <c r="J12" s="777">
        <f t="shared" si="6"/>
        <v>0</v>
      </c>
      <c r="K12" s="777">
        <f t="shared" si="7"/>
        <v>0</v>
      </c>
      <c r="L12" s="777">
        <f t="shared" si="8"/>
        <v>55</v>
      </c>
      <c r="M12" s="777">
        <f t="shared" si="9"/>
        <v>55</v>
      </c>
      <c r="N12" s="777">
        <f t="shared" si="10"/>
        <v>0</v>
      </c>
      <c r="O12" s="777">
        <f t="shared" si="11"/>
        <v>0</v>
      </c>
      <c r="P12" s="777">
        <f t="shared" si="12"/>
        <v>0</v>
      </c>
      <c r="Q12" s="777">
        <f t="shared" si="13"/>
        <v>0</v>
      </c>
      <c r="R12" s="777">
        <f t="shared" si="14"/>
        <v>0</v>
      </c>
      <c r="T12" s="784" t="b">
        <f t="shared" si="18"/>
        <v>1</v>
      </c>
      <c r="U12" s="784" t="b">
        <f t="shared" si="15"/>
        <v>1</v>
      </c>
      <c r="V12" s="784" t="b">
        <f t="shared" si="15"/>
        <v>1</v>
      </c>
      <c r="W12" s="784" t="b">
        <f t="shared" si="15"/>
        <v>1</v>
      </c>
      <c r="X12" s="784" t="b">
        <f t="shared" si="15"/>
        <v>1</v>
      </c>
      <c r="Y12" s="784" t="b">
        <f t="shared" si="15"/>
        <v>1</v>
      </c>
      <c r="Z12" s="784" t="b">
        <f t="shared" si="15"/>
        <v>1</v>
      </c>
      <c r="AA12" s="784" t="b">
        <f t="shared" si="15"/>
        <v>1</v>
      </c>
      <c r="AB12" s="784" t="b">
        <f t="shared" si="15"/>
        <v>1</v>
      </c>
      <c r="AC12" s="784" t="b">
        <f t="shared" si="15"/>
        <v>1</v>
      </c>
      <c r="AD12" s="784" t="b">
        <f t="shared" si="15"/>
        <v>1</v>
      </c>
      <c r="AE12" s="784" t="b">
        <f t="shared" si="15"/>
        <v>1</v>
      </c>
      <c r="AF12" s="801" t="str">
        <f t="shared" si="19"/>
        <v/>
      </c>
      <c r="AG12" s="802" t="str">
        <f t="shared" si="20"/>
        <v/>
      </c>
      <c r="AH12" s="802" t="str">
        <f t="shared" si="21"/>
        <v/>
      </c>
      <c r="AI12" s="802" t="str">
        <f t="shared" si="22"/>
        <v/>
      </c>
      <c r="AJ12" s="802" t="str">
        <f t="shared" si="23"/>
        <v/>
      </c>
      <c r="AK12" s="802" t="str">
        <f t="shared" si="24"/>
        <v/>
      </c>
      <c r="AL12" s="802" t="str">
        <f t="shared" si="25"/>
        <v/>
      </c>
      <c r="AM12" s="802" t="str">
        <f t="shared" si="26"/>
        <v/>
      </c>
      <c r="AN12" s="802" t="str">
        <f t="shared" si="27"/>
        <v/>
      </c>
      <c r="AO12" s="802" t="str">
        <f t="shared" si="28"/>
        <v/>
      </c>
      <c r="AP12" s="802" t="str">
        <f t="shared" si="29"/>
        <v/>
      </c>
      <c r="AQ12" s="803" t="str">
        <f t="shared" si="30"/>
        <v/>
      </c>
    </row>
    <row r="13" spans="1:43" s="315" customFormat="1">
      <c r="A13" s="794" t="str">
        <f t="shared" si="31"/>
        <v>Ca 1,</v>
      </c>
      <c r="B13" s="314" t="s">
        <v>275</v>
      </c>
      <c r="C13" s="314" t="str">
        <f t="shared" si="0"/>
        <v>Nhiệt  độ xà bông nóng (2)
 熱脫脂溫度(2)</v>
      </c>
      <c r="D13" s="314" t="str">
        <f t="shared" si="1"/>
        <v>XL-001F</v>
      </c>
      <c r="E13" s="314" t="str">
        <f t="shared" si="2"/>
        <v>0C</v>
      </c>
      <c r="F13" s="314" t="str">
        <f t="shared" si="3"/>
        <v>50~70</v>
      </c>
      <c r="G13" s="777">
        <f t="shared" si="17"/>
        <v>0</v>
      </c>
      <c r="H13" s="777">
        <f t="shared" si="4"/>
        <v>0</v>
      </c>
      <c r="I13" s="777">
        <f t="shared" si="5"/>
        <v>0</v>
      </c>
      <c r="J13" s="777">
        <f t="shared" si="6"/>
        <v>0</v>
      </c>
      <c r="K13" s="777">
        <f t="shared" si="7"/>
        <v>0</v>
      </c>
      <c r="L13" s="777">
        <f t="shared" si="8"/>
        <v>58</v>
      </c>
      <c r="M13" s="777">
        <f t="shared" si="9"/>
        <v>58</v>
      </c>
      <c r="N13" s="777">
        <f t="shared" si="10"/>
        <v>0</v>
      </c>
      <c r="O13" s="777">
        <f t="shared" si="11"/>
        <v>0</v>
      </c>
      <c r="P13" s="777">
        <f t="shared" si="12"/>
        <v>0</v>
      </c>
      <c r="Q13" s="777">
        <f t="shared" si="13"/>
        <v>0</v>
      </c>
      <c r="R13" s="777">
        <f t="shared" si="14"/>
        <v>0</v>
      </c>
      <c r="T13" s="784" t="b">
        <f t="shared" si="18"/>
        <v>1</v>
      </c>
      <c r="U13" s="784" t="b">
        <f t="shared" si="15"/>
        <v>1</v>
      </c>
      <c r="V13" s="784" t="b">
        <f t="shared" si="15"/>
        <v>1</v>
      </c>
      <c r="W13" s="784" t="b">
        <f t="shared" si="15"/>
        <v>1</v>
      </c>
      <c r="X13" s="784" t="b">
        <f t="shared" si="15"/>
        <v>1</v>
      </c>
      <c r="Y13" s="784" t="b">
        <f t="shared" si="15"/>
        <v>1</v>
      </c>
      <c r="Z13" s="784" t="b">
        <f t="shared" si="15"/>
        <v>1</v>
      </c>
      <c r="AA13" s="784" t="b">
        <f t="shared" si="15"/>
        <v>1</v>
      </c>
      <c r="AB13" s="784" t="b">
        <f t="shared" si="15"/>
        <v>1</v>
      </c>
      <c r="AC13" s="784" t="b">
        <f t="shared" si="15"/>
        <v>1</v>
      </c>
      <c r="AD13" s="784" t="b">
        <f t="shared" si="15"/>
        <v>1</v>
      </c>
      <c r="AE13" s="784" t="b">
        <f t="shared" si="15"/>
        <v>1</v>
      </c>
      <c r="AF13" s="801" t="str">
        <f t="shared" si="19"/>
        <v/>
      </c>
      <c r="AG13" s="802" t="str">
        <f t="shared" si="20"/>
        <v/>
      </c>
      <c r="AH13" s="802" t="str">
        <f t="shared" si="21"/>
        <v/>
      </c>
      <c r="AI13" s="802" t="str">
        <f t="shared" si="22"/>
        <v/>
      </c>
      <c r="AJ13" s="802" t="str">
        <f t="shared" si="23"/>
        <v/>
      </c>
      <c r="AK13" s="802" t="str">
        <f t="shared" si="24"/>
        <v/>
      </c>
      <c r="AL13" s="802" t="str">
        <f t="shared" si="25"/>
        <v/>
      </c>
      <c r="AM13" s="802" t="str">
        <f t="shared" si="26"/>
        <v/>
      </c>
      <c r="AN13" s="802" t="str">
        <f t="shared" si="27"/>
        <v/>
      </c>
      <c r="AO13" s="802" t="str">
        <f t="shared" si="28"/>
        <v/>
      </c>
      <c r="AP13" s="802" t="str">
        <f t="shared" si="29"/>
        <v/>
      </c>
      <c r="AQ13" s="803" t="str">
        <f t="shared" si="30"/>
        <v/>
      </c>
    </row>
    <row r="14" spans="1:43" s="315" customFormat="1">
      <c r="A14" s="794" t="str">
        <f t="shared" si="31"/>
        <v>Ca 1,</v>
      </c>
      <c r="B14" s="314" t="s">
        <v>276</v>
      </c>
      <c r="C14" s="314" t="str">
        <f t="shared" si="0"/>
        <v>Nhiệt độ điện giải (1) 
電解1 溫度</v>
      </c>
      <c r="D14" s="314" t="str">
        <f t="shared" si="1"/>
        <v>XL-001F</v>
      </c>
      <c r="E14" s="314" t="str">
        <f t="shared" si="2"/>
        <v>0C</v>
      </c>
      <c r="F14" s="314" t="str">
        <f t="shared" si="3"/>
        <v>40~60</v>
      </c>
      <c r="G14" s="777">
        <f t="shared" si="17"/>
        <v>0</v>
      </c>
      <c r="H14" s="777">
        <f t="shared" si="4"/>
        <v>0</v>
      </c>
      <c r="I14" s="777">
        <f t="shared" si="5"/>
        <v>0</v>
      </c>
      <c r="J14" s="777">
        <f t="shared" si="6"/>
        <v>0</v>
      </c>
      <c r="K14" s="777">
        <f t="shared" si="7"/>
        <v>0</v>
      </c>
      <c r="L14" s="777">
        <f t="shared" si="8"/>
        <v>52</v>
      </c>
      <c r="M14" s="777">
        <f t="shared" si="9"/>
        <v>52</v>
      </c>
      <c r="N14" s="777">
        <f t="shared" si="10"/>
        <v>0</v>
      </c>
      <c r="O14" s="777">
        <f t="shared" si="11"/>
        <v>0</v>
      </c>
      <c r="P14" s="777">
        <f t="shared" si="12"/>
        <v>0</v>
      </c>
      <c r="Q14" s="777">
        <f t="shared" si="13"/>
        <v>0</v>
      </c>
      <c r="R14" s="777">
        <f t="shared" si="14"/>
        <v>0</v>
      </c>
      <c r="T14" s="784" t="b">
        <f t="shared" si="18"/>
        <v>1</v>
      </c>
      <c r="U14" s="784" t="b">
        <f t="shared" si="15"/>
        <v>1</v>
      </c>
      <c r="V14" s="784" t="b">
        <f t="shared" si="15"/>
        <v>1</v>
      </c>
      <c r="W14" s="784" t="b">
        <f t="shared" si="15"/>
        <v>1</v>
      </c>
      <c r="X14" s="784" t="b">
        <f t="shared" si="15"/>
        <v>1</v>
      </c>
      <c r="Y14" s="784" t="b">
        <f t="shared" si="15"/>
        <v>1</v>
      </c>
      <c r="Z14" s="784" t="b">
        <f t="shared" si="15"/>
        <v>1</v>
      </c>
      <c r="AA14" s="784" t="b">
        <f t="shared" si="15"/>
        <v>1</v>
      </c>
      <c r="AB14" s="784" t="b">
        <f t="shared" si="15"/>
        <v>1</v>
      </c>
      <c r="AC14" s="784" t="b">
        <f t="shared" si="15"/>
        <v>1</v>
      </c>
      <c r="AD14" s="784" t="b">
        <f t="shared" si="15"/>
        <v>1</v>
      </c>
      <c r="AE14" s="784" t="b">
        <f t="shared" si="15"/>
        <v>1</v>
      </c>
      <c r="AF14" s="801" t="str">
        <f t="shared" si="19"/>
        <v/>
      </c>
      <c r="AG14" s="802" t="str">
        <f t="shared" si="20"/>
        <v/>
      </c>
      <c r="AH14" s="802" t="str">
        <f t="shared" si="21"/>
        <v/>
      </c>
      <c r="AI14" s="802" t="str">
        <f t="shared" si="22"/>
        <v/>
      </c>
      <c r="AJ14" s="802" t="str">
        <f t="shared" si="23"/>
        <v/>
      </c>
      <c r="AK14" s="802" t="str">
        <f t="shared" si="24"/>
        <v/>
      </c>
      <c r="AL14" s="802" t="str">
        <f t="shared" si="25"/>
        <v/>
      </c>
      <c r="AM14" s="802" t="str">
        <f t="shared" si="26"/>
        <v/>
      </c>
      <c r="AN14" s="802" t="str">
        <f t="shared" si="27"/>
        <v/>
      </c>
      <c r="AO14" s="802" t="str">
        <f t="shared" si="28"/>
        <v/>
      </c>
      <c r="AP14" s="802" t="str">
        <f t="shared" si="29"/>
        <v/>
      </c>
      <c r="AQ14" s="803" t="str">
        <f t="shared" si="30"/>
        <v/>
      </c>
    </row>
    <row r="15" spans="1:43" s="315" customFormat="1">
      <c r="A15" s="794" t="str">
        <f t="shared" si="31"/>
        <v>Ca 1,</v>
      </c>
      <c r="B15" s="314" t="s">
        <v>277</v>
      </c>
      <c r="C15" s="314" t="str">
        <f t="shared" si="0"/>
        <v>Nhiệt độ điện giải (2)
電解 2 溫度</v>
      </c>
      <c r="D15" s="314" t="str">
        <f t="shared" si="1"/>
        <v>XL-001F</v>
      </c>
      <c r="E15" s="314" t="str">
        <f t="shared" si="2"/>
        <v>0C</v>
      </c>
      <c r="F15" s="314" t="str">
        <f t="shared" si="3"/>
        <v>40~60</v>
      </c>
      <c r="G15" s="777">
        <f t="shared" si="17"/>
        <v>0</v>
      </c>
      <c r="H15" s="777">
        <f t="shared" si="4"/>
        <v>0</v>
      </c>
      <c r="I15" s="777">
        <f t="shared" si="5"/>
        <v>0</v>
      </c>
      <c r="J15" s="777">
        <f t="shared" si="6"/>
        <v>0</v>
      </c>
      <c r="K15" s="777">
        <f t="shared" si="7"/>
        <v>0</v>
      </c>
      <c r="L15" s="777">
        <f t="shared" si="8"/>
        <v>48</v>
      </c>
      <c r="M15" s="777">
        <f t="shared" si="9"/>
        <v>48</v>
      </c>
      <c r="N15" s="777">
        <f t="shared" si="10"/>
        <v>0</v>
      </c>
      <c r="O15" s="777">
        <f t="shared" si="11"/>
        <v>0</v>
      </c>
      <c r="P15" s="777">
        <f t="shared" si="12"/>
        <v>0</v>
      </c>
      <c r="Q15" s="777">
        <f t="shared" si="13"/>
        <v>0</v>
      </c>
      <c r="R15" s="777">
        <f t="shared" si="14"/>
        <v>0</v>
      </c>
      <c r="T15" s="784" t="b">
        <f t="shared" si="18"/>
        <v>1</v>
      </c>
      <c r="U15" s="784" t="b">
        <f t="shared" si="15"/>
        <v>1</v>
      </c>
      <c r="V15" s="784" t="b">
        <f t="shared" si="15"/>
        <v>1</v>
      </c>
      <c r="W15" s="784" t="b">
        <f t="shared" si="15"/>
        <v>1</v>
      </c>
      <c r="X15" s="784" t="b">
        <f t="shared" si="15"/>
        <v>1</v>
      </c>
      <c r="Y15" s="784" t="b">
        <f t="shared" si="15"/>
        <v>1</v>
      </c>
      <c r="Z15" s="784" t="b">
        <f t="shared" si="15"/>
        <v>1</v>
      </c>
      <c r="AA15" s="784" t="b">
        <f t="shared" si="15"/>
        <v>1</v>
      </c>
      <c r="AB15" s="784" t="b">
        <f t="shared" si="15"/>
        <v>1</v>
      </c>
      <c r="AC15" s="784" t="b">
        <f t="shared" si="15"/>
        <v>1</v>
      </c>
      <c r="AD15" s="784" t="b">
        <f t="shared" si="15"/>
        <v>1</v>
      </c>
      <c r="AE15" s="784" t="b">
        <f t="shared" si="15"/>
        <v>1</v>
      </c>
      <c r="AF15" s="801" t="str">
        <f t="shared" si="19"/>
        <v/>
      </c>
      <c r="AG15" s="802" t="str">
        <f t="shared" si="20"/>
        <v/>
      </c>
      <c r="AH15" s="802" t="str">
        <f t="shared" si="21"/>
        <v/>
      </c>
      <c r="AI15" s="802" t="str">
        <f t="shared" si="22"/>
        <v/>
      </c>
      <c r="AJ15" s="802" t="str">
        <f t="shared" si="23"/>
        <v/>
      </c>
      <c r="AK15" s="802" t="str">
        <f t="shared" si="24"/>
        <v/>
      </c>
      <c r="AL15" s="802" t="str">
        <f t="shared" si="25"/>
        <v/>
      </c>
      <c r="AM15" s="802" t="str">
        <f t="shared" si="26"/>
        <v/>
      </c>
      <c r="AN15" s="802" t="str">
        <f t="shared" si="27"/>
        <v/>
      </c>
      <c r="AO15" s="802" t="str">
        <f t="shared" si="28"/>
        <v/>
      </c>
      <c r="AP15" s="802" t="str">
        <f t="shared" si="29"/>
        <v/>
      </c>
      <c r="AQ15" s="803" t="str">
        <f t="shared" si="30"/>
        <v/>
      </c>
    </row>
    <row r="16" spans="1:43" s="315" customFormat="1">
      <c r="A16" s="794" t="str">
        <f t="shared" si="31"/>
        <v>Ca 1,</v>
      </c>
      <c r="B16" s="314" t="s">
        <v>313</v>
      </c>
      <c r="C16" s="314" t="str">
        <f t="shared" si="0"/>
        <v>Nhiệt độ bồn xi
鍍鋅槽溫度</v>
      </c>
      <c r="D16" s="314" t="str">
        <f t="shared" si="1"/>
        <v>XL-001F</v>
      </c>
      <c r="E16" s="314" t="str">
        <f t="shared" si="2"/>
        <v>0C</v>
      </c>
      <c r="F16" s="314" t="str">
        <f t="shared" si="3"/>
        <v>20~35</v>
      </c>
      <c r="G16" s="777">
        <f t="shared" si="17"/>
        <v>0</v>
      </c>
      <c r="H16" s="777">
        <f t="shared" si="4"/>
        <v>0</v>
      </c>
      <c r="I16" s="777">
        <f t="shared" si="5"/>
        <v>0</v>
      </c>
      <c r="J16" s="777">
        <f t="shared" si="6"/>
        <v>0</v>
      </c>
      <c r="K16" s="777">
        <f t="shared" si="7"/>
        <v>0</v>
      </c>
      <c r="L16" s="777">
        <f t="shared" si="8"/>
        <v>30</v>
      </c>
      <c r="M16" s="777">
        <f t="shared" si="9"/>
        <v>30</v>
      </c>
      <c r="N16" s="777">
        <f t="shared" si="10"/>
        <v>0</v>
      </c>
      <c r="O16" s="777">
        <f t="shared" si="11"/>
        <v>0</v>
      </c>
      <c r="P16" s="777">
        <f t="shared" si="12"/>
        <v>0</v>
      </c>
      <c r="Q16" s="777">
        <f t="shared" si="13"/>
        <v>0</v>
      </c>
      <c r="R16" s="777">
        <f t="shared" si="14"/>
        <v>0</v>
      </c>
      <c r="T16" s="784" t="b">
        <f t="shared" si="18"/>
        <v>1</v>
      </c>
      <c r="U16" s="784" t="b">
        <f t="shared" si="15"/>
        <v>1</v>
      </c>
      <c r="V16" s="784" t="b">
        <f t="shared" si="15"/>
        <v>1</v>
      </c>
      <c r="W16" s="784" t="b">
        <f t="shared" si="15"/>
        <v>1</v>
      </c>
      <c r="X16" s="784" t="b">
        <f t="shared" si="15"/>
        <v>1</v>
      </c>
      <c r="Y16" s="784" t="b">
        <f t="shared" si="15"/>
        <v>1</v>
      </c>
      <c r="Z16" s="784" t="b">
        <f t="shared" si="15"/>
        <v>1</v>
      </c>
      <c r="AA16" s="784" t="b">
        <f t="shared" si="15"/>
        <v>1</v>
      </c>
      <c r="AB16" s="784" t="b">
        <f t="shared" si="15"/>
        <v>1</v>
      </c>
      <c r="AC16" s="784" t="b">
        <f t="shared" si="15"/>
        <v>1</v>
      </c>
      <c r="AD16" s="784" t="b">
        <f t="shared" si="15"/>
        <v>1</v>
      </c>
      <c r="AE16" s="784" t="b">
        <f t="shared" si="15"/>
        <v>1</v>
      </c>
      <c r="AF16" s="801" t="str">
        <f t="shared" si="19"/>
        <v/>
      </c>
      <c r="AG16" s="802" t="str">
        <f t="shared" si="20"/>
        <v/>
      </c>
      <c r="AH16" s="802" t="str">
        <f t="shared" si="21"/>
        <v/>
      </c>
      <c r="AI16" s="802" t="str">
        <f t="shared" si="22"/>
        <v/>
      </c>
      <c r="AJ16" s="802" t="str">
        <f t="shared" si="23"/>
        <v/>
      </c>
      <c r="AK16" s="802" t="str">
        <f t="shared" si="24"/>
        <v/>
      </c>
      <c r="AL16" s="802" t="str">
        <f t="shared" si="25"/>
        <v/>
      </c>
      <c r="AM16" s="802" t="str">
        <f t="shared" si="26"/>
        <v/>
      </c>
      <c r="AN16" s="802" t="str">
        <f t="shared" si="27"/>
        <v/>
      </c>
      <c r="AO16" s="802" t="str">
        <f t="shared" si="28"/>
        <v/>
      </c>
      <c r="AP16" s="802" t="str">
        <f t="shared" si="29"/>
        <v/>
      </c>
      <c r="AQ16" s="803" t="str">
        <f t="shared" si="30"/>
        <v/>
      </c>
    </row>
    <row r="17" spans="1:43">
      <c r="A17" s="794" t="str">
        <f t="shared" si="31"/>
        <v>Ca 1,</v>
      </c>
      <c r="B17" s="314" t="s">
        <v>278</v>
      </c>
      <c r="C17" s="314" t="str">
        <f t="shared" si="0"/>
        <v>Nhiệt độ bồn màu Cr2O3
三價鉻 溫度</v>
      </c>
      <c r="D17" s="314" t="str">
        <f t="shared" si="1"/>
        <v>XL-001F</v>
      </c>
      <c r="E17" s="314" t="str">
        <f t="shared" si="2"/>
        <v>0C</v>
      </c>
      <c r="F17" s="314" t="str">
        <f t="shared" si="3"/>
        <v>30-38</v>
      </c>
      <c r="G17" s="777">
        <f t="shared" si="17"/>
        <v>0</v>
      </c>
      <c r="H17" s="777">
        <f t="shared" si="4"/>
        <v>0</v>
      </c>
      <c r="I17" s="777">
        <f t="shared" si="5"/>
        <v>0</v>
      </c>
      <c r="J17" s="777">
        <f t="shared" si="6"/>
        <v>0</v>
      </c>
      <c r="K17" s="777">
        <f t="shared" si="7"/>
        <v>0</v>
      </c>
      <c r="L17" s="777">
        <f t="shared" si="8"/>
        <v>38</v>
      </c>
      <c r="M17" s="777">
        <f t="shared" si="9"/>
        <v>38</v>
      </c>
      <c r="N17" s="777">
        <f t="shared" si="10"/>
        <v>0</v>
      </c>
      <c r="O17" s="777">
        <f t="shared" si="11"/>
        <v>0</v>
      </c>
      <c r="P17" s="777">
        <f t="shared" si="12"/>
        <v>0</v>
      </c>
      <c r="Q17" s="777">
        <f t="shared" si="13"/>
        <v>0</v>
      </c>
      <c r="R17" s="777">
        <f t="shared" si="14"/>
        <v>0</v>
      </c>
      <c r="T17" s="784" t="b">
        <f t="shared" si="18"/>
        <v>1</v>
      </c>
      <c r="U17" s="784" t="b">
        <f t="shared" si="15"/>
        <v>1</v>
      </c>
      <c r="V17" s="784" t="b">
        <f t="shared" si="15"/>
        <v>1</v>
      </c>
      <c r="W17" s="784" t="b">
        <f t="shared" si="15"/>
        <v>1</v>
      </c>
      <c r="X17" s="784" t="b">
        <f t="shared" si="15"/>
        <v>1</v>
      </c>
      <c r="Y17" s="784" t="b">
        <f t="shared" si="15"/>
        <v>1</v>
      </c>
      <c r="Z17" s="784" t="b">
        <f t="shared" si="15"/>
        <v>1</v>
      </c>
      <c r="AA17" s="784" t="b">
        <f t="shared" si="15"/>
        <v>1</v>
      </c>
      <c r="AB17" s="784" t="b">
        <f t="shared" si="15"/>
        <v>1</v>
      </c>
      <c r="AC17" s="784" t="b">
        <f t="shared" si="15"/>
        <v>1</v>
      </c>
      <c r="AD17" s="784" t="b">
        <f t="shared" si="15"/>
        <v>1</v>
      </c>
      <c r="AE17" s="784" t="b">
        <f t="shared" si="15"/>
        <v>1</v>
      </c>
      <c r="AF17" s="801" t="str">
        <f t="shared" si="19"/>
        <v/>
      </c>
      <c r="AG17" s="802" t="str">
        <f t="shared" si="20"/>
        <v/>
      </c>
      <c r="AH17" s="802" t="str">
        <f t="shared" si="21"/>
        <v/>
      </c>
      <c r="AI17" s="802" t="str">
        <f t="shared" si="22"/>
        <v/>
      </c>
      <c r="AJ17" s="802" t="str">
        <f t="shared" si="23"/>
        <v/>
      </c>
      <c r="AK17" s="802" t="str">
        <f t="shared" si="24"/>
        <v/>
      </c>
      <c r="AL17" s="802" t="str">
        <f t="shared" si="25"/>
        <v/>
      </c>
      <c r="AM17" s="802" t="str">
        <f t="shared" si="26"/>
        <v/>
      </c>
      <c r="AN17" s="802" t="str">
        <f t="shared" si="27"/>
        <v/>
      </c>
      <c r="AO17" s="802" t="str">
        <f t="shared" si="28"/>
        <v/>
      </c>
      <c r="AP17" s="802" t="str">
        <f t="shared" si="29"/>
        <v/>
      </c>
      <c r="AQ17" s="803" t="str">
        <f t="shared" si="30"/>
        <v/>
      </c>
    </row>
    <row r="18" spans="1:43" s="315" customFormat="1">
      <c r="A18" s="794" t="str">
        <f t="shared" si="31"/>
        <v>Ca 1,</v>
      </c>
      <c r="B18" s="314" t="s">
        <v>279</v>
      </c>
      <c r="C18" s="314" t="str">
        <f t="shared" si="0"/>
        <v xml:space="preserve">Nhiệt độ bồn nước nóng
熱水溫度 </v>
      </c>
      <c r="D18" s="314" t="str">
        <f t="shared" si="1"/>
        <v>XL-001F</v>
      </c>
      <c r="E18" s="314" t="str">
        <f t="shared" si="2"/>
        <v>0C</v>
      </c>
      <c r="F18" s="314" t="str">
        <f t="shared" si="3"/>
        <v>50~70</v>
      </c>
      <c r="G18" s="777">
        <f t="shared" si="17"/>
        <v>0</v>
      </c>
      <c r="H18" s="777">
        <f t="shared" si="4"/>
        <v>0</v>
      </c>
      <c r="I18" s="777">
        <f t="shared" si="5"/>
        <v>0</v>
      </c>
      <c r="J18" s="777">
        <f t="shared" si="6"/>
        <v>0</v>
      </c>
      <c r="K18" s="777">
        <f t="shared" si="7"/>
        <v>0</v>
      </c>
      <c r="L18" s="777">
        <f t="shared" si="8"/>
        <v>52</v>
      </c>
      <c r="M18" s="777">
        <f t="shared" si="9"/>
        <v>53</v>
      </c>
      <c r="N18" s="777">
        <f t="shared" si="10"/>
        <v>0</v>
      </c>
      <c r="O18" s="777">
        <f t="shared" si="11"/>
        <v>0</v>
      </c>
      <c r="P18" s="777">
        <f t="shared" si="12"/>
        <v>0</v>
      </c>
      <c r="Q18" s="777">
        <f t="shared" si="13"/>
        <v>0</v>
      </c>
      <c r="R18" s="777">
        <f t="shared" si="14"/>
        <v>0</v>
      </c>
      <c r="T18" s="784" t="b">
        <f t="shared" si="18"/>
        <v>1</v>
      </c>
      <c r="U18" s="784" t="b">
        <f t="shared" si="15"/>
        <v>1</v>
      </c>
      <c r="V18" s="784" t="b">
        <f t="shared" si="15"/>
        <v>1</v>
      </c>
      <c r="W18" s="784" t="b">
        <f t="shared" si="15"/>
        <v>1</v>
      </c>
      <c r="X18" s="784" t="b">
        <f t="shared" si="15"/>
        <v>1</v>
      </c>
      <c r="Y18" s="784" t="b">
        <f t="shared" si="15"/>
        <v>1</v>
      </c>
      <c r="Z18" s="784" t="b">
        <f t="shared" si="15"/>
        <v>1</v>
      </c>
      <c r="AA18" s="784" t="b">
        <f t="shared" si="15"/>
        <v>1</v>
      </c>
      <c r="AB18" s="784" t="b">
        <f t="shared" si="15"/>
        <v>1</v>
      </c>
      <c r="AC18" s="784" t="b">
        <f t="shared" si="15"/>
        <v>1</v>
      </c>
      <c r="AD18" s="784" t="b">
        <f t="shared" si="15"/>
        <v>1</v>
      </c>
      <c r="AE18" s="784" t="b">
        <f t="shared" si="15"/>
        <v>1</v>
      </c>
      <c r="AF18" s="801" t="str">
        <f t="shared" si="19"/>
        <v/>
      </c>
      <c r="AG18" s="802" t="str">
        <f t="shared" si="20"/>
        <v/>
      </c>
      <c r="AH18" s="802" t="str">
        <f t="shared" si="21"/>
        <v/>
      </c>
      <c r="AI18" s="802" t="str">
        <f t="shared" si="22"/>
        <v/>
      </c>
      <c r="AJ18" s="802" t="str">
        <f t="shared" si="23"/>
        <v/>
      </c>
      <c r="AK18" s="802" t="str">
        <f t="shared" si="24"/>
        <v/>
      </c>
      <c r="AL18" s="802" t="str">
        <f t="shared" si="25"/>
        <v/>
      </c>
      <c r="AM18" s="802" t="str">
        <f t="shared" si="26"/>
        <v/>
      </c>
      <c r="AN18" s="802" t="str">
        <f t="shared" si="27"/>
        <v/>
      </c>
      <c r="AO18" s="802" t="str">
        <f t="shared" si="28"/>
        <v/>
      </c>
      <c r="AP18" s="802" t="str">
        <f t="shared" si="29"/>
        <v/>
      </c>
      <c r="AQ18" s="803" t="str">
        <f t="shared" si="30"/>
        <v/>
      </c>
    </row>
    <row r="19" spans="1:43" s="315" customFormat="1">
      <c r="A19" s="794" t="str">
        <f t="shared" si="31"/>
        <v>Ca 1,</v>
      </c>
      <c r="B19" s="314" t="s">
        <v>280</v>
      </c>
      <c r="C19" s="314" t="str">
        <f t="shared" si="0"/>
        <v>Sấy khô
烘乾</v>
      </c>
      <c r="D19" s="314" t="str">
        <f t="shared" si="1"/>
        <v>XL-001F</v>
      </c>
      <c r="E19" s="314" t="str">
        <f t="shared" si="2"/>
        <v>0C</v>
      </c>
      <c r="F19" s="314" t="str">
        <f t="shared" si="3"/>
        <v>80~100</v>
      </c>
      <c r="G19" s="777">
        <f t="shared" si="17"/>
        <v>0</v>
      </c>
      <c r="H19" s="777">
        <f t="shared" si="4"/>
        <v>0</v>
      </c>
      <c r="I19" s="777">
        <f t="shared" si="5"/>
        <v>0</v>
      </c>
      <c r="J19" s="777">
        <f t="shared" si="6"/>
        <v>0</v>
      </c>
      <c r="K19" s="777">
        <f t="shared" si="7"/>
        <v>0</v>
      </c>
      <c r="L19" s="777">
        <f t="shared" si="8"/>
        <v>0</v>
      </c>
      <c r="M19" s="777">
        <f t="shared" si="9"/>
        <v>83</v>
      </c>
      <c r="N19" s="777">
        <f t="shared" si="10"/>
        <v>0</v>
      </c>
      <c r="O19" s="777">
        <f t="shared" si="11"/>
        <v>0</v>
      </c>
      <c r="P19" s="777">
        <f t="shared" si="12"/>
        <v>0</v>
      </c>
      <c r="Q19" s="777">
        <f t="shared" si="13"/>
        <v>0</v>
      </c>
      <c r="R19" s="777">
        <f t="shared" si="14"/>
        <v>0</v>
      </c>
      <c r="T19" s="784" t="b">
        <f t="shared" si="18"/>
        <v>1</v>
      </c>
      <c r="U19" s="784" t="b">
        <f t="shared" si="15"/>
        <v>1</v>
      </c>
      <c r="V19" s="784" t="b">
        <f t="shared" si="15"/>
        <v>1</v>
      </c>
      <c r="W19" s="784" t="b">
        <f t="shared" si="15"/>
        <v>1</v>
      </c>
      <c r="X19" s="784" t="b">
        <f t="shared" si="15"/>
        <v>1</v>
      </c>
      <c r="Y19" s="784" t="b">
        <f t="shared" si="15"/>
        <v>1</v>
      </c>
      <c r="Z19" s="784" t="b">
        <f t="shared" si="15"/>
        <v>1</v>
      </c>
      <c r="AA19" s="784" t="b">
        <f t="shared" si="15"/>
        <v>1</v>
      </c>
      <c r="AB19" s="784" t="b">
        <f t="shared" si="15"/>
        <v>1</v>
      </c>
      <c r="AC19" s="784" t="b">
        <f t="shared" si="15"/>
        <v>1</v>
      </c>
      <c r="AD19" s="784" t="b">
        <f t="shared" si="15"/>
        <v>1</v>
      </c>
      <c r="AE19" s="784" t="b">
        <f t="shared" si="15"/>
        <v>1</v>
      </c>
      <c r="AF19" s="801" t="str">
        <f t="shared" si="19"/>
        <v/>
      </c>
      <c r="AG19" s="802" t="str">
        <f t="shared" si="20"/>
        <v/>
      </c>
      <c r="AH19" s="802" t="str">
        <f t="shared" si="21"/>
        <v/>
      </c>
      <c r="AI19" s="802" t="str">
        <f t="shared" si="22"/>
        <v/>
      </c>
      <c r="AJ19" s="802" t="str">
        <f t="shared" si="23"/>
        <v/>
      </c>
      <c r="AK19" s="802" t="str">
        <f t="shared" si="24"/>
        <v/>
      </c>
      <c r="AL19" s="802" t="str">
        <f t="shared" si="25"/>
        <v/>
      </c>
      <c r="AM19" s="802" t="str">
        <f t="shared" si="26"/>
        <v/>
      </c>
      <c r="AN19" s="802" t="str">
        <f t="shared" si="27"/>
        <v/>
      </c>
      <c r="AO19" s="802" t="str">
        <f t="shared" si="28"/>
        <v/>
      </c>
      <c r="AP19" s="802" t="str">
        <f t="shared" si="29"/>
        <v/>
      </c>
      <c r="AQ19" s="803" t="str">
        <f t="shared" si="30"/>
        <v/>
      </c>
    </row>
    <row r="20" spans="1:43" s="315" customFormat="1">
      <c r="A20" s="794" t="str">
        <f t="shared" si="31"/>
        <v>Ca 1,</v>
      </c>
      <c r="B20" s="314" t="s">
        <v>297</v>
      </c>
      <c r="C20" s="314" t="str">
        <f t="shared" si="0"/>
        <v>Nhiệt  độ xà bông nóng (1)
 熱脫脂溫度(1)</v>
      </c>
      <c r="D20" s="314" t="str">
        <f t="shared" si="1"/>
        <v>XT-000C</v>
      </c>
      <c r="E20" s="314" t="str">
        <f t="shared" si="2"/>
        <v>0C</v>
      </c>
      <c r="F20" s="314" t="str">
        <f t="shared" si="3"/>
        <v>50~70</v>
      </c>
      <c r="G20" s="777">
        <f t="shared" si="17"/>
        <v>0</v>
      </c>
      <c r="H20" s="777">
        <f t="shared" si="4"/>
        <v>0</v>
      </c>
      <c r="I20" s="777">
        <f t="shared" si="5"/>
        <v>0</v>
      </c>
      <c r="J20" s="777">
        <f t="shared" si="6"/>
        <v>0</v>
      </c>
      <c r="K20" s="777">
        <f t="shared" si="7"/>
        <v>0</v>
      </c>
      <c r="L20" s="777">
        <f t="shared" si="8"/>
        <v>58</v>
      </c>
      <c r="M20" s="777">
        <f t="shared" si="9"/>
        <v>58</v>
      </c>
      <c r="N20" s="777">
        <f t="shared" si="10"/>
        <v>0</v>
      </c>
      <c r="O20" s="777">
        <f t="shared" si="11"/>
        <v>0</v>
      </c>
      <c r="P20" s="777">
        <f t="shared" si="12"/>
        <v>0</v>
      </c>
      <c r="Q20" s="777">
        <f t="shared" si="13"/>
        <v>0</v>
      </c>
      <c r="R20" s="777">
        <f t="shared" si="14"/>
        <v>0</v>
      </c>
      <c r="T20" s="784" t="b">
        <f t="shared" si="18"/>
        <v>1</v>
      </c>
      <c r="U20" s="784" t="b">
        <f t="shared" si="18"/>
        <v>1</v>
      </c>
      <c r="V20" s="784" t="b">
        <f t="shared" si="18"/>
        <v>1</v>
      </c>
      <c r="W20" s="784" t="b">
        <f t="shared" si="18"/>
        <v>1</v>
      </c>
      <c r="X20" s="784" t="b">
        <f t="shared" si="18"/>
        <v>1</v>
      </c>
      <c r="Y20" s="784" t="b">
        <f t="shared" si="18"/>
        <v>1</v>
      </c>
      <c r="Z20" s="784" t="b">
        <f t="shared" si="18"/>
        <v>1</v>
      </c>
      <c r="AA20" s="784" t="b">
        <f t="shared" si="18"/>
        <v>1</v>
      </c>
      <c r="AB20" s="784" t="b">
        <f t="shared" si="18"/>
        <v>1</v>
      </c>
      <c r="AC20" s="784" t="b">
        <f t="shared" si="18"/>
        <v>1</v>
      </c>
      <c r="AD20" s="784" t="b">
        <f t="shared" si="18"/>
        <v>1</v>
      </c>
      <c r="AE20" s="784" t="b">
        <f t="shared" si="18"/>
        <v>1</v>
      </c>
      <c r="AF20" s="801" t="str">
        <f t="shared" si="19"/>
        <v/>
      </c>
      <c r="AG20" s="802" t="str">
        <f t="shared" si="20"/>
        <v/>
      </c>
      <c r="AH20" s="802" t="str">
        <f t="shared" si="21"/>
        <v/>
      </c>
      <c r="AI20" s="802" t="str">
        <f t="shared" si="22"/>
        <v/>
      </c>
      <c r="AJ20" s="802" t="str">
        <f t="shared" si="23"/>
        <v/>
      </c>
      <c r="AK20" s="802" t="str">
        <f t="shared" si="24"/>
        <v/>
      </c>
      <c r="AL20" s="802" t="str">
        <f t="shared" si="25"/>
        <v/>
      </c>
      <c r="AM20" s="802" t="str">
        <f t="shared" si="26"/>
        <v/>
      </c>
      <c r="AN20" s="802" t="str">
        <f t="shared" si="27"/>
        <v/>
      </c>
      <c r="AO20" s="802" t="str">
        <f t="shared" si="28"/>
        <v/>
      </c>
      <c r="AP20" s="802" t="str">
        <f t="shared" si="29"/>
        <v/>
      </c>
      <c r="AQ20" s="803" t="str">
        <f t="shared" si="30"/>
        <v/>
      </c>
    </row>
    <row r="21" spans="1:43" s="315" customFormat="1">
      <c r="A21" s="794" t="str">
        <f t="shared" si="31"/>
        <v>Ca 1,</v>
      </c>
      <c r="B21" s="314" t="s">
        <v>298</v>
      </c>
      <c r="C21" s="314" t="str">
        <f t="shared" si="0"/>
        <v>Nhiệt  độ xà bông nóng (2)
 熱脫脂溫度(2)</v>
      </c>
      <c r="D21" s="314" t="str">
        <f t="shared" si="1"/>
        <v>XT-000C</v>
      </c>
      <c r="E21" s="314" t="str">
        <f t="shared" si="2"/>
        <v>0C</v>
      </c>
      <c r="F21" s="314" t="str">
        <f t="shared" si="3"/>
        <v>50~70</v>
      </c>
      <c r="G21" s="777">
        <f t="shared" si="17"/>
        <v>0</v>
      </c>
      <c r="H21" s="777">
        <f t="shared" si="4"/>
        <v>0</v>
      </c>
      <c r="I21" s="777">
        <f t="shared" si="5"/>
        <v>0</v>
      </c>
      <c r="J21" s="777">
        <f t="shared" si="6"/>
        <v>0</v>
      </c>
      <c r="K21" s="777">
        <f t="shared" si="7"/>
        <v>0</v>
      </c>
      <c r="L21" s="777">
        <f t="shared" si="8"/>
        <v>59</v>
      </c>
      <c r="M21" s="777">
        <f t="shared" si="9"/>
        <v>58</v>
      </c>
      <c r="N21" s="777">
        <f t="shared" si="10"/>
        <v>0</v>
      </c>
      <c r="O21" s="777">
        <f t="shared" si="11"/>
        <v>0</v>
      </c>
      <c r="P21" s="777">
        <f t="shared" si="12"/>
        <v>0</v>
      </c>
      <c r="Q21" s="777">
        <f t="shared" si="13"/>
        <v>0</v>
      </c>
      <c r="R21" s="777">
        <f t="shared" si="14"/>
        <v>0</v>
      </c>
      <c r="T21" s="784" t="b">
        <f t="shared" si="18"/>
        <v>1</v>
      </c>
      <c r="U21" s="784" t="b">
        <f t="shared" si="18"/>
        <v>1</v>
      </c>
      <c r="V21" s="784" t="b">
        <f t="shared" si="18"/>
        <v>1</v>
      </c>
      <c r="W21" s="784" t="b">
        <f t="shared" si="18"/>
        <v>1</v>
      </c>
      <c r="X21" s="784" t="b">
        <f t="shared" si="18"/>
        <v>1</v>
      </c>
      <c r="Y21" s="784" t="b">
        <f t="shared" si="18"/>
        <v>1</v>
      </c>
      <c r="Z21" s="784" t="b">
        <f t="shared" si="18"/>
        <v>1</v>
      </c>
      <c r="AA21" s="784" t="b">
        <f t="shared" si="18"/>
        <v>1</v>
      </c>
      <c r="AB21" s="784" t="b">
        <f t="shared" si="18"/>
        <v>1</v>
      </c>
      <c r="AC21" s="784" t="b">
        <f t="shared" si="18"/>
        <v>1</v>
      </c>
      <c r="AD21" s="784" t="b">
        <f t="shared" si="18"/>
        <v>1</v>
      </c>
      <c r="AE21" s="784" t="b">
        <f t="shared" si="18"/>
        <v>1</v>
      </c>
      <c r="AF21" s="801" t="str">
        <f t="shared" si="19"/>
        <v/>
      </c>
      <c r="AG21" s="802" t="str">
        <f t="shared" si="20"/>
        <v/>
      </c>
      <c r="AH21" s="802" t="str">
        <f t="shared" si="21"/>
        <v/>
      </c>
      <c r="AI21" s="802" t="str">
        <f t="shared" si="22"/>
        <v/>
      </c>
      <c r="AJ21" s="802" t="str">
        <f t="shared" si="23"/>
        <v/>
      </c>
      <c r="AK21" s="802" t="str">
        <f t="shared" si="24"/>
        <v/>
      </c>
      <c r="AL21" s="802" t="str">
        <f t="shared" si="25"/>
        <v/>
      </c>
      <c r="AM21" s="802" t="str">
        <f t="shared" si="26"/>
        <v/>
      </c>
      <c r="AN21" s="802" t="str">
        <f t="shared" si="27"/>
        <v/>
      </c>
      <c r="AO21" s="802" t="str">
        <f t="shared" si="28"/>
        <v/>
      </c>
      <c r="AP21" s="802" t="str">
        <f t="shared" si="29"/>
        <v/>
      </c>
      <c r="AQ21" s="803" t="str">
        <f t="shared" si="30"/>
        <v/>
      </c>
    </row>
    <row r="22" spans="1:43" s="315" customFormat="1">
      <c r="A22" s="794" t="str">
        <f t="shared" si="31"/>
        <v>Ca 1,</v>
      </c>
      <c r="B22" s="314" t="s">
        <v>299</v>
      </c>
      <c r="C22" s="314" t="str">
        <f t="shared" si="0"/>
        <v>Nhiệt độ điện giải (1) 
電解1 溫度</v>
      </c>
      <c r="D22" s="314" t="str">
        <f t="shared" si="1"/>
        <v>XT-000C</v>
      </c>
      <c r="E22" s="314" t="str">
        <f t="shared" si="2"/>
        <v>0C</v>
      </c>
      <c r="F22" s="314" t="str">
        <f t="shared" si="3"/>
        <v>50~70</v>
      </c>
      <c r="G22" s="777">
        <f t="shared" si="17"/>
        <v>0</v>
      </c>
      <c r="H22" s="777">
        <f t="shared" si="4"/>
        <v>0</v>
      </c>
      <c r="I22" s="777">
        <f t="shared" si="5"/>
        <v>0</v>
      </c>
      <c r="J22" s="777">
        <f t="shared" si="6"/>
        <v>0</v>
      </c>
      <c r="K22" s="777">
        <f t="shared" si="7"/>
        <v>0</v>
      </c>
      <c r="L22" s="777">
        <f t="shared" si="8"/>
        <v>59</v>
      </c>
      <c r="M22" s="777">
        <f t="shared" si="9"/>
        <v>58</v>
      </c>
      <c r="N22" s="777">
        <f t="shared" si="10"/>
        <v>0</v>
      </c>
      <c r="O22" s="777">
        <f t="shared" si="11"/>
        <v>0</v>
      </c>
      <c r="P22" s="777">
        <f t="shared" si="12"/>
        <v>0</v>
      </c>
      <c r="Q22" s="777">
        <f t="shared" si="13"/>
        <v>0</v>
      </c>
      <c r="R22" s="777">
        <f t="shared" si="14"/>
        <v>0</v>
      </c>
      <c r="T22" s="784" t="b">
        <f t="shared" si="18"/>
        <v>1</v>
      </c>
      <c r="U22" s="784" t="b">
        <f t="shared" si="18"/>
        <v>1</v>
      </c>
      <c r="V22" s="784" t="b">
        <f t="shared" si="18"/>
        <v>1</v>
      </c>
      <c r="W22" s="784" t="b">
        <f t="shared" si="18"/>
        <v>1</v>
      </c>
      <c r="X22" s="784" t="b">
        <f t="shared" si="18"/>
        <v>1</v>
      </c>
      <c r="Y22" s="784" t="b">
        <f t="shared" si="18"/>
        <v>1</v>
      </c>
      <c r="Z22" s="784" t="b">
        <f t="shared" si="18"/>
        <v>1</v>
      </c>
      <c r="AA22" s="784" t="b">
        <f t="shared" si="18"/>
        <v>1</v>
      </c>
      <c r="AB22" s="784" t="b">
        <f t="shared" si="18"/>
        <v>1</v>
      </c>
      <c r="AC22" s="784" t="b">
        <f t="shared" si="18"/>
        <v>1</v>
      </c>
      <c r="AD22" s="784" t="b">
        <f t="shared" si="18"/>
        <v>1</v>
      </c>
      <c r="AE22" s="784" t="b">
        <f t="shared" si="18"/>
        <v>1</v>
      </c>
      <c r="AF22" s="801" t="str">
        <f t="shared" si="19"/>
        <v/>
      </c>
      <c r="AG22" s="802" t="str">
        <f t="shared" si="20"/>
        <v/>
      </c>
      <c r="AH22" s="802" t="str">
        <f t="shared" si="21"/>
        <v/>
      </c>
      <c r="AI22" s="802" t="str">
        <f t="shared" si="22"/>
        <v/>
      </c>
      <c r="AJ22" s="802" t="str">
        <f t="shared" si="23"/>
        <v/>
      </c>
      <c r="AK22" s="802" t="str">
        <f t="shared" si="24"/>
        <v/>
      </c>
      <c r="AL22" s="802" t="str">
        <f t="shared" si="25"/>
        <v/>
      </c>
      <c r="AM22" s="802" t="str">
        <f t="shared" si="26"/>
        <v/>
      </c>
      <c r="AN22" s="802" t="str">
        <f t="shared" si="27"/>
        <v/>
      </c>
      <c r="AO22" s="802" t="str">
        <f t="shared" si="28"/>
        <v/>
      </c>
      <c r="AP22" s="802" t="str">
        <f t="shared" si="29"/>
        <v/>
      </c>
      <c r="AQ22" s="803" t="str">
        <f t="shared" si="30"/>
        <v/>
      </c>
    </row>
    <row r="23" spans="1:43" s="315" customFormat="1">
      <c r="A23" s="794" t="str">
        <f t="shared" si="31"/>
        <v>Ca 1,</v>
      </c>
      <c r="B23" s="314" t="s">
        <v>300</v>
      </c>
      <c r="C23" s="314" t="str">
        <f t="shared" si="0"/>
        <v>Nhiệt độ điện giải (2)
電解 2 溫度</v>
      </c>
      <c r="D23" s="314" t="str">
        <f t="shared" si="1"/>
        <v>XT-000C</v>
      </c>
      <c r="E23" s="314" t="str">
        <f t="shared" si="2"/>
        <v>0C</v>
      </c>
      <c r="F23" s="314" t="str">
        <f t="shared" si="3"/>
        <v>50~70</v>
      </c>
      <c r="G23" s="777">
        <f t="shared" si="17"/>
        <v>0</v>
      </c>
      <c r="H23" s="777">
        <f t="shared" si="4"/>
        <v>0</v>
      </c>
      <c r="I23" s="777">
        <f t="shared" si="5"/>
        <v>0</v>
      </c>
      <c r="J23" s="777">
        <f t="shared" si="6"/>
        <v>0</v>
      </c>
      <c r="K23" s="777">
        <f t="shared" si="7"/>
        <v>0</v>
      </c>
      <c r="L23" s="777">
        <f t="shared" si="8"/>
        <v>58</v>
      </c>
      <c r="M23" s="777">
        <f t="shared" si="9"/>
        <v>58</v>
      </c>
      <c r="N23" s="777">
        <f t="shared" si="10"/>
        <v>0</v>
      </c>
      <c r="O23" s="777">
        <f t="shared" si="11"/>
        <v>0</v>
      </c>
      <c r="P23" s="777">
        <f t="shared" si="12"/>
        <v>0</v>
      </c>
      <c r="Q23" s="777">
        <f t="shared" si="13"/>
        <v>0</v>
      </c>
      <c r="R23" s="777">
        <f t="shared" si="14"/>
        <v>0</v>
      </c>
      <c r="T23" s="784" t="b">
        <f t="shared" si="18"/>
        <v>1</v>
      </c>
      <c r="U23" s="784" t="b">
        <f t="shared" si="18"/>
        <v>1</v>
      </c>
      <c r="V23" s="784" t="b">
        <f t="shared" si="18"/>
        <v>1</v>
      </c>
      <c r="W23" s="784" t="b">
        <f t="shared" si="18"/>
        <v>1</v>
      </c>
      <c r="X23" s="784" t="b">
        <f t="shared" si="18"/>
        <v>1</v>
      </c>
      <c r="Y23" s="784" t="b">
        <f t="shared" si="18"/>
        <v>1</v>
      </c>
      <c r="Z23" s="784" t="b">
        <f t="shared" si="18"/>
        <v>1</v>
      </c>
      <c r="AA23" s="784" t="b">
        <f t="shared" si="18"/>
        <v>1</v>
      </c>
      <c r="AB23" s="784" t="b">
        <f t="shared" si="18"/>
        <v>1</v>
      </c>
      <c r="AC23" s="784" t="b">
        <f t="shared" si="18"/>
        <v>1</v>
      </c>
      <c r="AD23" s="784" t="b">
        <f t="shared" si="18"/>
        <v>1</v>
      </c>
      <c r="AE23" s="784" t="b">
        <f t="shared" si="18"/>
        <v>1</v>
      </c>
      <c r="AF23" s="801" t="str">
        <f t="shared" si="19"/>
        <v/>
      </c>
      <c r="AG23" s="802" t="str">
        <f t="shared" si="20"/>
        <v/>
      </c>
      <c r="AH23" s="802" t="str">
        <f t="shared" si="21"/>
        <v/>
      </c>
      <c r="AI23" s="802" t="str">
        <f t="shared" si="22"/>
        <v/>
      </c>
      <c r="AJ23" s="802" t="str">
        <f t="shared" si="23"/>
        <v/>
      </c>
      <c r="AK23" s="802" t="str">
        <f t="shared" si="24"/>
        <v/>
      </c>
      <c r="AL23" s="802" t="str">
        <f t="shared" si="25"/>
        <v/>
      </c>
      <c r="AM23" s="802" t="str">
        <f t="shared" si="26"/>
        <v/>
      </c>
      <c r="AN23" s="802" t="str">
        <f t="shared" si="27"/>
        <v/>
      </c>
      <c r="AO23" s="802" t="str">
        <f t="shared" si="28"/>
        <v/>
      </c>
      <c r="AP23" s="802" t="str">
        <f t="shared" si="29"/>
        <v/>
      </c>
      <c r="AQ23" s="803" t="str">
        <f t="shared" si="30"/>
        <v/>
      </c>
    </row>
    <row r="24" spans="1:43" s="315" customFormat="1">
      <c r="A24" s="794" t="str">
        <f t="shared" si="31"/>
        <v>Ca 1,</v>
      </c>
      <c r="B24" s="314" t="s">
        <v>311</v>
      </c>
      <c r="C24" s="314" t="str">
        <f t="shared" si="0"/>
        <v>Nhiệt độ bồn xi
鍍鋅槽溫度</v>
      </c>
      <c r="D24" s="314" t="str">
        <f t="shared" si="1"/>
        <v>XT-000C</v>
      </c>
      <c r="E24" s="314" t="str">
        <f t="shared" si="2"/>
        <v>0C</v>
      </c>
      <c r="F24" s="314" t="str">
        <f t="shared" si="3"/>
        <v>22~28</v>
      </c>
      <c r="G24" s="777">
        <f t="shared" si="17"/>
        <v>0</v>
      </c>
      <c r="H24" s="777">
        <f t="shared" si="4"/>
        <v>0</v>
      </c>
      <c r="I24" s="777">
        <f t="shared" si="5"/>
        <v>0</v>
      </c>
      <c r="J24" s="777">
        <f t="shared" si="6"/>
        <v>0</v>
      </c>
      <c r="K24" s="777">
        <f t="shared" si="7"/>
        <v>0</v>
      </c>
      <c r="L24" s="777">
        <f t="shared" si="8"/>
        <v>25</v>
      </c>
      <c r="M24" s="777">
        <f t="shared" si="9"/>
        <v>24</v>
      </c>
      <c r="N24" s="777">
        <f t="shared" si="10"/>
        <v>0</v>
      </c>
      <c r="O24" s="777">
        <f t="shared" si="11"/>
        <v>0</v>
      </c>
      <c r="P24" s="777">
        <f t="shared" si="12"/>
        <v>0</v>
      </c>
      <c r="Q24" s="777">
        <f t="shared" si="13"/>
        <v>0</v>
      </c>
      <c r="R24" s="777">
        <f t="shared" si="14"/>
        <v>0</v>
      </c>
      <c r="T24" s="784" t="b">
        <f t="shared" si="18"/>
        <v>1</v>
      </c>
      <c r="U24" s="784" t="b">
        <f t="shared" si="18"/>
        <v>1</v>
      </c>
      <c r="V24" s="784" t="b">
        <f t="shared" si="18"/>
        <v>1</v>
      </c>
      <c r="W24" s="784" t="b">
        <f t="shared" si="18"/>
        <v>1</v>
      </c>
      <c r="X24" s="784" t="b">
        <f t="shared" si="18"/>
        <v>1</v>
      </c>
      <c r="Y24" s="784" t="b">
        <f t="shared" si="18"/>
        <v>1</v>
      </c>
      <c r="Z24" s="784" t="b">
        <f t="shared" si="18"/>
        <v>1</v>
      </c>
      <c r="AA24" s="784" t="b">
        <f t="shared" si="18"/>
        <v>1</v>
      </c>
      <c r="AB24" s="784" t="b">
        <f t="shared" si="18"/>
        <v>1</v>
      </c>
      <c r="AC24" s="784" t="b">
        <f t="shared" si="18"/>
        <v>1</v>
      </c>
      <c r="AD24" s="784" t="b">
        <f t="shared" si="18"/>
        <v>1</v>
      </c>
      <c r="AE24" s="784" t="b">
        <f t="shared" si="18"/>
        <v>1</v>
      </c>
      <c r="AF24" s="801" t="str">
        <f t="shared" si="19"/>
        <v/>
      </c>
      <c r="AG24" s="802" t="str">
        <f t="shared" si="20"/>
        <v/>
      </c>
      <c r="AH24" s="802" t="str">
        <f t="shared" si="21"/>
        <v/>
      </c>
      <c r="AI24" s="802" t="str">
        <f t="shared" si="22"/>
        <v/>
      </c>
      <c r="AJ24" s="802" t="str">
        <f t="shared" si="23"/>
        <v/>
      </c>
      <c r="AK24" s="802" t="str">
        <f t="shared" si="24"/>
        <v/>
      </c>
      <c r="AL24" s="802" t="str">
        <f t="shared" si="25"/>
        <v/>
      </c>
      <c r="AM24" s="802" t="str">
        <f t="shared" si="26"/>
        <v/>
      </c>
      <c r="AN24" s="802" t="str">
        <f t="shared" si="27"/>
        <v/>
      </c>
      <c r="AO24" s="802" t="str">
        <f t="shared" si="28"/>
        <v/>
      </c>
      <c r="AP24" s="802" t="str">
        <f t="shared" si="29"/>
        <v/>
      </c>
      <c r="AQ24" s="803" t="str">
        <f t="shared" si="30"/>
        <v/>
      </c>
    </row>
    <row r="25" spans="1:43" s="315" customFormat="1">
      <c r="A25" s="794" t="str">
        <f t="shared" si="31"/>
        <v>Ca 1,</v>
      </c>
      <c r="B25" s="314" t="s">
        <v>301</v>
      </c>
      <c r="C25" s="314" t="str">
        <f t="shared" si="0"/>
        <v>Nhiệt độ bồn màu Cr2O3 (I)
三價鉻 溫度  HALO</v>
      </c>
      <c r="D25" s="314" t="str">
        <f t="shared" si="1"/>
        <v>XT-000C</v>
      </c>
      <c r="E25" s="314" t="str">
        <f t="shared" si="2"/>
        <v>0C</v>
      </c>
      <c r="F25" s="314" t="str">
        <f t="shared" si="3"/>
        <v>30~40</v>
      </c>
      <c r="G25" s="777">
        <f t="shared" si="17"/>
        <v>0</v>
      </c>
      <c r="H25" s="777">
        <f t="shared" si="4"/>
        <v>0</v>
      </c>
      <c r="I25" s="777">
        <f t="shared" si="5"/>
        <v>0</v>
      </c>
      <c r="J25" s="777">
        <f t="shared" si="6"/>
        <v>0</v>
      </c>
      <c r="K25" s="777">
        <f t="shared" si="7"/>
        <v>0</v>
      </c>
      <c r="L25" s="777">
        <f t="shared" si="8"/>
        <v>37</v>
      </c>
      <c r="M25" s="777">
        <f t="shared" si="9"/>
        <v>37</v>
      </c>
      <c r="N25" s="777">
        <f t="shared" si="10"/>
        <v>0</v>
      </c>
      <c r="O25" s="777">
        <f t="shared" si="11"/>
        <v>0</v>
      </c>
      <c r="P25" s="777">
        <f t="shared" si="12"/>
        <v>0</v>
      </c>
      <c r="Q25" s="777">
        <f t="shared" si="13"/>
        <v>0</v>
      </c>
      <c r="R25" s="777">
        <f t="shared" si="14"/>
        <v>0</v>
      </c>
      <c r="T25" s="784" t="b">
        <f t="shared" si="18"/>
        <v>1</v>
      </c>
      <c r="U25" s="784" t="b">
        <f t="shared" si="18"/>
        <v>1</v>
      </c>
      <c r="V25" s="784" t="b">
        <f t="shared" si="18"/>
        <v>1</v>
      </c>
      <c r="W25" s="784" t="b">
        <f t="shared" si="18"/>
        <v>1</v>
      </c>
      <c r="X25" s="784" t="b">
        <f t="shared" si="18"/>
        <v>1</v>
      </c>
      <c r="Y25" s="784" t="b">
        <f t="shared" si="18"/>
        <v>1</v>
      </c>
      <c r="Z25" s="784" t="b">
        <f t="shared" si="18"/>
        <v>1</v>
      </c>
      <c r="AA25" s="784" t="b">
        <f t="shared" si="18"/>
        <v>1</v>
      </c>
      <c r="AB25" s="784" t="b">
        <f t="shared" si="18"/>
        <v>1</v>
      </c>
      <c r="AC25" s="784" t="b">
        <f t="shared" si="18"/>
        <v>1</v>
      </c>
      <c r="AD25" s="784" t="b">
        <f t="shared" si="18"/>
        <v>1</v>
      </c>
      <c r="AE25" s="784" t="b">
        <f t="shared" si="18"/>
        <v>1</v>
      </c>
      <c r="AF25" s="801" t="str">
        <f t="shared" si="19"/>
        <v/>
      </c>
      <c r="AG25" s="802" t="str">
        <f t="shared" si="20"/>
        <v/>
      </c>
      <c r="AH25" s="802" t="str">
        <f t="shared" si="21"/>
        <v/>
      </c>
      <c r="AI25" s="802" t="str">
        <f t="shared" si="22"/>
        <v/>
      </c>
      <c r="AJ25" s="802" t="str">
        <f t="shared" si="23"/>
        <v/>
      </c>
      <c r="AK25" s="802" t="str">
        <f t="shared" si="24"/>
        <v/>
      </c>
      <c r="AL25" s="802" t="str">
        <f t="shared" si="25"/>
        <v/>
      </c>
      <c r="AM25" s="802" t="str">
        <f t="shared" si="26"/>
        <v/>
      </c>
      <c r="AN25" s="802" t="str">
        <f t="shared" si="27"/>
        <v/>
      </c>
      <c r="AO25" s="802" t="str">
        <f t="shared" si="28"/>
        <v/>
      </c>
      <c r="AP25" s="802" t="str">
        <f t="shared" si="29"/>
        <v/>
      </c>
      <c r="AQ25" s="803" t="str">
        <f t="shared" si="30"/>
        <v/>
      </c>
    </row>
    <row r="26" spans="1:43" s="315" customFormat="1">
      <c r="A26" s="794" t="str">
        <f t="shared" si="31"/>
        <v>Ca 1,</v>
      </c>
      <c r="B26" s="314" t="s">
        <v>302</v>
      </c>
      <c r="C26" s="314" t="str">
        <f t="shared" si="0"/>
        <v xml:space="preserve">Nhiệt độ bồn nước nóng
熱水溫度 </v>
      </c>
      <c r="D26" s="314" t="str">
        <f t="shared" si="1"/>
        <v>XT-000C</v>
      </c>
      <c r="E26" s="314" t="str">
        <f t="shared" si="2"/>
        <v>0C</v>
      </c>
      <c r="F26" s="314" t="str">
        <f t="shared" si="3"/>
        <v>55~65</v>
      </c>
      <c r="G26" s="777">
        <f t="shared" si="17"/>
        <v>0</v>
      </c>
      <c r="H26" s="777">
        <f t="shared" si="4"/>
        <v>0</v>
      </c>
      <c r="I26" s="777">
        <f t="shared" si="5"/>
        <v>0</v>
      </c>
      <c r="J26" s="777">
        <f t="shared" si="6"/>
        <v>0</v>
      </c>
      <c r="K26" s="777">
        <f t="shared" si="7"/>
        <v>0</v>
      </c>
      <c r="L26" s="777">
        <f t="shared" si="8"/>
        <v>58</v>
      </c>
      <c r="M26" s="777">
        <f t="shared" si="9"/>
        <v>57</v>
      </c>
      <c r="N26" s="777">
        <f t="shared" si="10"/>
        <v>0</v>
      </c>
      <c r="O26" s="777">
        <f t="shared" si="11"/>
        <v>0</v>
      </c>
      <c r="P26" s="777">
        <f t="shared" si="12"/>
        <v>0</v>
      </c>
      <c r="Q26" s="777">
        <f t="shared" si="13"/>
        <v>0</v>
      </c>
      <c r="R26" s="777">
        <f t="shared" si="14"/>
        <v>0</v>
      </c>
      <c r="T26" s="784" t="b">
        <f t="shared" si="18"/>
        <v>1</v>
      </c>
      <c r="U26" s="784" t="b">
        <f t="shared" si="18"/>
        <v>1</v>
      </c>
      <c r="V26" s="784" t="b">
        <f t="shared" si="18"/>
        <v>1</v>
      </c>
      <c r="W26" s="784" t="b">
        <f t="shared" si="18"/>
        <v>1</v>
      </c>
      <c r="X26" s="784" t="b">
        <f t="shared" si="18"/>
        <v>1</v>
      </c>
      <c r="Y26" s="784" t="b">
        <f t="shared" si="18"/>
        <v>1</v>
      </c>
      <c r="Z26" s="784" t="b">
        <f t="shared" si="18"/>
        <v>1</v>
      </c>
      <c r="AA26" s="784" t="b">
        <f t="shared" si="18"/>
        <v>1</v>
      </c>
      <c r="AB26" s="784" t="b">
        <f t="shared" si="18"/>
        <v>1</v>
      </c>
      <c r="AC26" s="784" t="b">
        <f t="shared" si="18"/>
        <v>1</v>
      </c>
      <c r="AD26" s="784" t="b">
        <f t="shared" si="18"/>
        <v>1</v>
      </c>
      <c r="AE26" s="784" t="b">
        <f t="shared" si="18"/>
        <v>1</v>
      </c>
      <c r="AF26" s="801" t="str">
        <f t="shared" si="19"/>
        <v/>
      </c>
      <c r="AG26" s="802" t="str">
        <f t="shared" si="20"/>
        <v/>
      </c>
      <c r="AH26" s="802" t="str">
        <f t="shared" si="21"/>
        <v/>
      </c>
      <c r="AI26" s="802" t="str">
        <f t="shared" si="22"/>
        <v/>
      </c>
      <c r="AJ26" s="802" t="str">
        <f t="shared" si="23"/>
        <v/>
      </c>
      <c r="AK26" s="802" t="str">
        <f t="shared" si="24"/>
        <v/>
      </c>
      <c r="AL26" s="802" t="str">
        <f t="shared" si="25"/>
        <v/>
      </c>
      <c r="AM26" s="802" t="str">
        <f t="shared" si="26"/>
        <v/>
      </c>
      <c r="AN26" s="802" t="str">
        <f t="shared" si="27"/>
        <v/>
      </c>
      <c r="AO26" s="802" t="str">
        <f t="shared" si="28"/>
        <v/>
      </c>
      <c r="AP26" s="802" t="str">
        <f t="shared" si="29"/>
        <v/>
      </c>
      <c r="AQ26" s="803" t="str">
        <f t="shared" si="30"/>
        <v/>
      </c>
    </row>
    <row r="27" spans="1:43" s="315" customFormat="1">
      <c r="A27" s="794" t="str">
        <f t="shared" si="31"/>
        <v>Ca 1,</v>
      </c>
      <c r="B27" s="314" t="s">
        <v>303</v>
      </c>
      <c r="C27" s="314" t="str">
        <f t="shared" si="0"/>
        <v>Sấy khô
烘乾</v>
      </c>
      <c r="D27" s="314" t="str">
        <f t="shared" si="1"/>
        <v>XT-000C</v>
      </c>
      <c r="E27" s="314" t="str">
        <f t="shared" si="2"/>
        <v>0C</v>
      </c>
      <c r="F27" s="314" t="str">
        <f t="shared" si="3"/>
        <v>80~100</v>
      </c>
      <c r="G27" s="777">
        <f t="shared" si="17"/>
        <v>0</v>
      </c>
      <c r="H27" s="777">
        <f t="shared" si="4"/>
        <v>0</v>
      </c>
      <c r="I27" s="777">
        <f t="shared" si="5"/>
        <v>0</v>
      </c>
      <c r="J27" s="777">
        <f t="shared" si="6"/>
        <v>0</v>
      </c>
      <c r="K27" s="777">
        <f t="shared" si="7"/>
        <v>0</v>
      </c>
      <c r="L27" s="777" t="str">
        <f t="shared" si="8"/>
        <v>\</v>
      </c>
      <c r="M27" s="777">
        <f t="shared" si="9"/>
        <v>92</v>
      </c>
      <c r="N27" s="777">
        <f t="shared" si="10"/>
        <v>0</v>
      </c>
      <c r="O27" s="777">
        <f t="shared" si="11"/>
        <v>0</v>
      </c>
      <c r="P27" s="777">
        <f t="shared" si="12"/>
        <v>0</v>
      </c>
      <c r="Q27" s="777">
        <f t="shared" si="13"/>
        <v>0</v>
      </c>
      <c r="R27" s="777">
        <f t="shared" si="14"/>
        <v>0</v>
      </c>
      <c r="T27" s="784" t="b">
        <f t="shared" si="18"/>
        <v>1</v>
      </c>
      <c r="U27" s="784" t="b">
        <f t="shared" si="18"/>
        <v>1</v>
      </c>
      <c r="V27" s="784" t="b">
        <f t="shared" si="18"/>
        <v>1</v>
      </c>
      <c r="W27" s="784" t="b">
        <f t="shared" si="18"/>
        <v>1</v>
      </c>
      <c r="X27" s="784" t="b">
        <f t="shared" si="18"/>
        <v>1</v>
      </c>
      <c r="Y27" s="784" t="b">
        <f t="shared" si="18"/>
        <v>0</v>
      </c>
      <c r="Z27" s="784" t="b">
        <f t="shared" si="18"/>
        <v>1</v>
      </c>
      <c r="AA27" s="784" t="b">
        <f t="shared" si="18"/>
        <v>1</v>
      </c>
      <c r="AB27" s="784" t="b">
        <f t="shared" si="18"/>
        <v>1</v>
      </c>
      <c r="AC27" s="784" t="b">
        <f t="shared" si="18"/>
        <v>1</v>
      </c>
      <c r="AD27" s="784" t="b">
        <f t="shared" si="18"/>
        <v>1</v>
      </c>
      <c r="AE27" s="784" t="b">
        <f t="shared" si="18"/>
        <v>1</v>
      </c>
      <c r="AF27" s="801" t="str">
        <f t="shared" si="19"/>
        <v/>
      </c>
      <c r="AG27" s="802" t="str">
        <f t="shared" si="20"/>
        <v/>
      </c>
      <c r="AH27" s="802" t="str">
        <f t="shared" si="21"/>
        <v/>
      </c>
      <c r="AI27" s="802" t="str">
        <f t="shared" si="22"/>
        <v/>
      </c>
      <c r="AJ27" s="802" t="str">
        <f t="shared" si="23"/>
        <v/>
      </c>
      <c r="AK27" s="802">
        <f t="shared" si="24"/>
        <v>1</v>
      </c>
      <c r="AL27" s="802" t="str">
        <f t="shared" si="25"/>
        <v/>
      </c>
      <c r="AM27" s="802" t="str">
        <f t="shared" si="26"/>
        <v/>
      </c>
      <c r="AN27" s="802" t="str">
        <f t="shared" si="27"/>
        <v/>
      </c>
      <c r="AO27" s="802" t="str">
        <f t="shared" si="28"/>
        <v/>
      </c>
      <c r="AP27" s="802" t="str">
        <f t="shared" si="29"/>
        <v/>
      </c>
      <c r="AQ27" s="803" t="str">
        <f t="shared" si="30"/>
        <v/>
      </c>
    </row>
    <row r="28" spans="1:43" s="775" customFormat="1">
      <c r="A28" s="794" t="str">
        <f t="shared" si="31"/>
        <v>Ca 1,</v>
      </c>
      <c r="B28" s="755" t="s">
        <v>442</v>
      </c>
      <c r="C28" s="755" t="str">
        <f t="shared" ref="C28:C51" si="32">IFERROR(VLOOKUP($B28,RLMLXD,2,0),"")</f>
        <v>Muối axit Phosphoric (1)
磷酸鹽</v>
      </c>
      <c r="D28" s="755" t="str">
        <f t="shared" ref="D28:D51" si="33">IFERROR(VLOOKUP($B28,RLMLXD,43,0),"")</f>
        <v>CR-000E</v>
      </c>
      <c r="E28" s="755" t="str">
        <f t="shared" ref="E28:E51" si="34">IFERROR(VLOOKUP($B28,RLMLXD,4,0),"")</f>
        <v>0C</v>
      </c>
      <c r="F28" s="755" t="str">
        <f t="shared" ref="F28:F51" si="35">IFERROR(VLOOKUP($B28,RLMLXD,5,0),"")</f>
        <v>65~85OC</v>
      </c>
      <c r="G28" s="779">
        <f t="shared" ref="G28:G51" si="36">IFERROR(VLOOKUP($B28,RLMLXD,8,0),"")</f>
        <v>0</v>
      </c>
      <c r="H28" s="779">
        <f t="shared" ref="H28:H51" si="37">IFERROR(VLOOKUP($B28,RLMLXD,11,0),"")</f>
        <v>0</v>
      </c>
      <c r="I28" s="779">
        <f t="shared" ref="I28:I51" si="38">IFERROR(VLOOKUP($B28,RLMLXD,14,0),"")</f>
        <v>0</v>
      </c>
      <c r="J28" s="779">
        <f t="shared" ref="J28:J51" si="39">IFERROR(VLOOKUP($B28,RLMLXD,17,0),"")</f>
        <v>0</v>
      </c>
      <c r="K28" s="779">
        <f t="shared" ref="K28:K51" si="40">IFERROR(VLOOKUP($B28,RLMLXD,20,0),"")</f>
        <v>0</v>
      </c>
      <c r="L28" s="779">
        <f t="shared" ref="L28:L51" si="41">IFERROR(VLOOKUP($B28,RLMLXD,23,0),"")</f>
        <v>0</v>
      </c>
      <c r="M28" s="779">
        <f t="shared" ref="M28:M51" si="42">IFERROR(VLOOKUP($B28,RLMLXD,26,0),"")</f>
        <v>0</v>
      </c>
      <c r="N28" s="779">
        <f t="shared" ref="N28:N51" si="43">IFERROR(VLOOKUP($B28,RLMLXD,29,0),"")</f>
        <v>0</v>
      </c>
      <c r="O28" s="779">
        <f t="shared" ref="O28:O51" si="44">IFERROR(VLOOKUP($B28,RLMLXD,32,0),"")</f>
        <v>0</v>
      </c>
      <c r="P28" s="779">
        <f t="shared" ref="P28:P51" si="45">IFERROR(VLOOKUP($B28,RLMLXD,35,0),"")</f>
        <v>0</v>
      </c>
      <c r="Q28" s="779">
        <f t="shared" ref="Q28:Q51" si="46">IFERROR(VLOOKUP($B28,RLMLXD,38,0),"")</f>
        <v>0</v>
      </c>
      <c r="R28" s="779">
        <f t="shared" ref="R28:R51" si="47">IFERROR(VLOOKUP($B28,RLMLXD,41,0),"")</f>
        <v>0</v>
      </c>
      <c r="T28" s="784" t="b">
        <f t="shared" si="18"/>
        <v>1</v>
      </c>
      <c r="U28" s="784" t="b">
        <f t="shared" si="18"/>
        <v>1</v>
      </c>
      <c r="V28" s="784" t="b">
        <f t="shared" si="18"/>
        <v>1</v>
      </c>
      <c r="W28" s="784" t="b">
        <f t="shared" si="18"/>
        <v>1</v>
      </c>
      <c r="X28" s="784" t="b">
        <f t="shared" si="18"/>
        <v>1</v>
      </c>
      <c r="Y28" s="784" t="b">
        <f t="shared" si="18"/>
        <v>1</v>
      </c>
      <c r="Z28" s="784" t="b">
        <f t="shared" si="18"/>
        <v>1</v>
      </c>
      <c r="AA28" s="784" t="b">
        <f t="shared" si="18"/>
        <v>1</v>
      </c>
      <c r="AB28" s="784" t="b">
        <f t="shared" si="18"/>
        <v>1</v>
      </c>
      <c r="AC28" s="784" t="b">
        <f t="shared" si="18"/>
        <v>1</v>
      </c>
      <c r="AD28" s="784" t="b">
        <f t="shared" si="18"/>
        <v>1</v>
      </c>
      <c r="AE28" s="784" t="b">
        <f t="shared" si="18"/>
        <v>1</v>
      </c>
      <c r="AF28" s="801" t="str">
        <f t="shared" si="19"/>
        <v/>
      </c>
      <c r="AG28" s="802" t="str">
        <f t="shared" si="20"/>
        <v/>
      </c>
      <c r="AH28" s="802" t="str">
        <f t="shared" si="21"/>
        <v/>
      </c>
      <c r="AI28" s="802" t="str">
        <f t="shared" si="22"/>
        <v/>
      </c>
      <c r="AJ28" s="802" t="str">
        <f t="shared" si="23"/>
        <v/>
      </c>
      <c r="AK28" s="802" t="str">
        <f t="shared" si="24"/>
        <v/>
      </c>
      <c r="AL28" s="802" t="str">
        <f t="shared" si="25"/>
        <v/>
      </c>
      <c r="AM28" s="802" t="str">
        <f t="shared" si="26"/>
        <v/>
      </c>
      <c r="AN28" s="802" t="str">
        <f t="shared" si="27"/>
        <v/>
      </c>
      <c r="AO28" s="802" t="str">
        <f t="shared" si="28"/>
        <v/>
      </c>
      <c r="AP28" s="802" t="str">
        <f t="shared" si="29"/>
        <v/>
      </c>
      <c r="AQ28" s="803" t="str">
        <f t="shared" si="30"/>
        <v/>
      </c>
    </row>
    <row r="29" spans="1:43">
      <c r="A29" s="794" t="str">
        <f t="shared" si="31"/>
        <v>Ca 1,</v>
      </c>
      <c r="B29" s="314" t="s">
        <v>444</v>
      </c>
      <c r="C29" s="314" t="str">
        <f t="shared" si="32"/>
        <v>Muối axit Phosphoric (2)
磷酸鹽</v>
      </c>
      <c r="D29" s="314" t="str">
        <f t="shared" si="33"/>
        <v>CR-000E</v>
      </c>
      <c r="E29" s="314" t="str">
        <f t="shared" si="34"/>
        <v>0C</v>
      </c>
      <c r="F29" s="314" t="str">
        <f t="shared" si="35"/>
        <v>65~85OC</v>
      </c>
      <c r="G29" s="777">
        <f t="shared" si="36"/>
        <v>0</v>
      </c>
      <c r="H29" s="777">
        <f t="shared" si="37"/>
        <v>0</v>
      </c>
      <c r="I29" s="777">
        <f t="shared" si="38"/>
        <v>0</v>
      </c>
      <c r="J29" s="777">
        <f t="shared" si="39"/>
        <v>0</v>
      </c>
      <c r="K29" s="777">
        <f t="shared" si="40"/>
        <v>0</v>
      </c>
      <c r="L29" s="777">
        <f t="shared" si="41"/>
        <v>0</v>
      </c>
      <c r="M29" s="777">
        <f t="shared" si="42"/>
        <v>0</v>
      </c>
      <c r="N29" s="777">
        <f t="shared" si="43"/>
        <v>0</v>
      </c>
      <c r="O29" s="777">
        <f t="shared" si="44"/>
        <v>0</v>
      </c>
      <c r="P29" s="777">
        <f t="shared" si="45"/>
        <v>0</v>
      </c>
      <c r="Q29" s="777">
        <f t="shared" si="46"/>
        <v>0</v>
      </c>
      <c r="R29" s="777">
        <f t="shared" si="47"/>
        <v>0</v>
      </c>
      <c r="T29" s="784" t="b">
        <f t="shared" si="18"/>
        <v>1</v>
      </c>
      <c r="U29" s="784" t="b">
        <f t="shared" si="18"/>
        <v>1</v>
      </c>
      <c r="V29" s="784" t="b">
        <f t="shared" si="18"/>
        <v>1</v>
      </c>
      <c r="W29" s="784" t="b">
        <f t="shared" si="18"/>
        <v>1</v>
      </c>
      <c r="X29" s="784" t="b">
        <f t="shared" si="18"/>
        <v>1</v>
      </c>
      <c r="Y29" s="784" t="b">
        <f t="shared" si="18"/>
        <v>1</v>
      </c>
      <c r="Z29" s="784" t="b">
        <f t="shared" si="18"/>
        <v>1</v>
      </c>
      <c r="AA29" s="784" t="b">
        <f t="shared" si="18"/>
        <v>1</v>
      </c>
      <c r="AB29" s="784" t="b">
        <f t="shared" si="18"/>
        <v>1</v>
      </c>
      <c r="AC29" s="784" t="b">
        <f t="shared" si="18"/>
        <v>1</v>
      </c>
      <c r="AD29" s="784" t="b">
        <f t="shared" si="18"/>
        <v>1</v>
      </c>
      <c r="AE29" s="784" t="b">
        <f t="shared" si="18"/>
        <v>1</v>
      </c>
      <c r="AF29" s="801" t="str">
        <f t="shared" si="19"/>
        <v/>
      </c>
      <c r="AG29" s="802" t="str">
        <f t="shared" si="20"/>
        <v/>
      </c>
      <c r="AH29" s="802" t="str">
        <f t="shared" si="21"/>
        <v/>
      </c>
      <c r="AI29" s="802" t="str">
        <f t="shared" si="22"/>
        <v/>
      </c>
      <c r="AJ29" s="802" t="str">
        <f t="shared" si="23"/>
        <v/>
      </c>
      <c r="AK29" s="802" t="str">
        <f t="shared" si="24"/>
        <v/>
      </c>
      <c r="AL29" s="802" t="str">
        <f t="shared" si="25"/>
        <v/>
      </c>
      <c r="AM29" s="802" t="str">
        <f t="shared" si="26"/>
        <v/>
      </c>
      <c r="AN29" s="802" t="str">
        <f t="shared" si="27"/>
        <v/>
      </c>
      <c r="AO29" s="802" t="str">
        <f t="shared" si="28"/>
        <v/>
      </c>
      <c r="AP29" s="802" t="str">
        <f t="shared" si="29"/>
        <v/>
      </c>
      <c r="AQ29" s="803" t="str">
        <f t="shared" si="30"/>
        <v/>
      </c>
    </row>
    <row r="30" spans="1:43">
      <c r="A30" s="794" t="str">
        <f t="shared" si="31"/>
        <v>Ca 1,</v>
      </c>
      <c r="B30" s="314" t="s">
        <v>446</v>
      </c>
      <c r="C30" s="314" t="str">
        <f t="shared" si="32"/>
        <v>Xà bông bôi trơn
潤滑皂</v>
      </c>
      <c r="D30" s="314" t="str">
        <f t="shared" si="33"/>
        <v>CR-000E</v>
      </c>
      <c r="E30" s="314" t="str">
        <f t="shared" si="34"/>
        <v>0C</v>
      </c>
      <c r="F30" s="314" t="str">
        <f t="shared" si="35"/>
        <v>80~90OC</v>
      </c>
      <c r="G30" s="777">
        <f t="shared" si="36"/>
        <v>0</v>
      </c>
      <c r="H30" s="777">
        <f t="shared" si="37"/>
        <v>0</v>
      </c>
      <c r="I30" s="777">
        <f t="shared" si="38"/>
        <v>0</v>
      </c>
      <c r="J30" s="777">
        <f t="shared" si="39"/>
        <v>0</v>
      </c>
      <c r="K30" s="777">
        <f t="shared" si="40"/>
        <v>0</v>
      </c>
      <c r="L30" s="777">
        <f t="shared" si="41"/>
        <v>0</v>
      </c>
      <c r="M30" s="777">
        <f t="shared" si="42"/>
        <v>0</v>
      </c>
      <c r="N30" s="777">
        <f t="shared" si="43"/>
        <v>0</v>
      </c>
      <c r="O30" s="777">
        <f t="shared" si="44"/>
        <v>0</v>
      </c>
      <c r="P30" s="777">
        <f t="shared" si="45"/>
        <v>0</v>
      </c>
      <c r="Q30" s="777">
        <f t="shared" si="46"/>
        <v>0</v>
      </c>
      <c r="R30" s="777">
        <f t="shared" si="47"/>
        <v>0</v>
      </c>
      <c r="T30" s="784" t="b">
        <f t="shared" si="18"/>
        <v>1</v>
      </c>
      <c r="U30" s="784" t="b">
        <f t="shared" si="18"/>
        <v>1</v>
      </c>
      <c r="V30" s="784" t="b">
        <f t="shared" si="18"/>
        <v>1</v>
      </c>
      <c r="W30" s="784" t="b">
        <f t="shared" si="18"/>
        <v>1</v>
      </c>
      <c r="X30" s="784" t="b">
        <f t="shared" si="18"/>
        <v>1</v>
      </c>
      <c r="Y30" s="784" t="b">
        <f t="shared" si="18"/>
        <v>1</v>
      </c>
      <c r="Z30" s="784" t="b">
        <f t="shared" si="18"/>
        <v>1</v>
      </c>
      <c r="AA30" s="784" t="b">
        <f t="shared" si="18"/>
        <v>1</v>
      </c>
      <c r="AB30" s="784" t="b">
        <f t="shared" si="18"/>
        <v>1</v>
      </c>
      <c r="AC30" s="784" t="b">
        <f t="shared" si="18"/>
        <v>1</v>
      </c>
      <c r="AD30" s="784" t="b">
        <f t="shared" si="18"/>
        <v>1</v>
      </c>
      <c r="AE30" s="784" t="b">
        <f t="shared" si="18"/>
        <v>1</v>
      </c>
      <c r="AF30" s="801" t="str">
        <f t="shared" si="19"/>
        <v/>
      </c>
      <c r="AG30" s="802" t="str">
        <f t="shared" si="20"/>
        <v/>
      </c>
      <c r="AH30" s="802" t="str">
        <f t="shared" si="21"/>
        <v/>
      </c>
      <c r="AI30" s="802" t="str">
        <f t="shared" si="22"/>
        <v/>
      </c>
      <c r="AJ30" s="802" t="str">
        <f t="shared" si="23"/>
        <v/>
      </c>
      <c r="AK30" s="802" t="str">
        <f t="shared" si="24"/>
        <v/>
      </c>
      <c r="AL30" s="802" t="str">
        <f t="shared" si="25"/>
        <v/>
      </c>
      <c r="AM30" s="802" t="str">
        <f t="shared" si="26"/>
        <v/>
      </c>
      <c r="AN30" s="802" t="str">
        <f t="shared" si="27"/>
        <v/>
      </c>
      <c r="AO30" s="802" t="str">
        <f t="shared" si="28"/>
        <v/>
      </c>
      <c r="AP30" s="802" t="str">
        <f t="shared" si="29"/>
        <v/>
      </c>
      <c r="AQ30" s="803" t="str">
        <f t="shared" si="30"/>
        <v/>
      </c>
    </row>
    <row r="31" spans="1:43">
      <c r="A31" s="794" t="str">
        <f t="shared" si="31"/>
        <v>Ca 1,</v>
      </c>
      <c r="B31" s="314" t="s">
        <v>451</v>
      </c>
      <c r="C31" s="314" t="str">
        <f t="shared" si="32"/>
        <v/>
      </c>
      <c r="D31" s="314" t="str">
        <f t="shared" si="33"/>
        <v/>
      </c>
      <c r="E31" s="314" t="str">
        <f t="shared" si="34"/>
        <v/>
      </c>
      <c r="F31" s="314" t="str">
        <f t="shared" si="35"/>
        <v/>
      </c>
      <c r="G31" s="777" t="str">
        <f t="shared" si="36"/>
        <v/>
      </c>
      <c r="H31" s="777" t="str">
        <f t="shared" si="37"/>
        <v/>
      </c>
      <c r="I31" s="777" t="str">
        <f t="shared" si="38"/>
        <v/>
      </c>
      <c r="J31" s="777" t="str">
        <f t="shared" si="39"/>
        <v/>
      </c>
      <c r="K31" s="777" t="str">
        <f t="shared" si="40"/>
        <v/>
      </c>
      <c r="L31" s="777" t="str">
        <f t="shared" si="41"/>
        <v/>
      </c>
      <c r="M31" s="777" t="str">
        <f t="shared" si="42"/>
        <v/>
      </c>
      <c r="N31" s="777" t="str">
        <f t="shared" si="43"/>
        <v/>
      </c>
      <c r="O31" s="777" t="str">
        <f t="shared" si="44"/>
        <v/>
      </c>
      <c r="P31" s="777" t="str">
        <f t="shared" si="45"/>
        <v/>
      </c>
      <c r="Q31" s="777" t="str">
        <f t="shared" si="46"/>
        <v/>
      </c>
      <c r="R31" s="777" t="str">
        <f t="shared" si="47"/>
        <v/>
      </c>
      <c r="T31" s="784" t="b">
        <f t="shared" si="18"/>
        <v>0</v>
      </c>
      <c r="U31" s="784" t="b">
        <f t="shared" si="18"/>
        <v>0</v>
      </c>
      <c r="V31" s="784" t="b">
        <f t="shared" si="18"/>
        <v>0</v>
      </c>
      <c r="W31" s="784" t="b">
        <f t="shared" si="18"/>
        <v>0</v>
      </c>
      <c r="X31" s="784" t="b">
        <f t="shared" si="18"/>
        <v>0</v>
      </c>
      <c r="Y31" s="784" t="b">
        <f t="shared" si="18"/>
        <v>0</v>
      </c>
      <c r="Z31" s="784" t="b">
        <f t="shared" si="18"/>
        <v>0</v>
      </c>
      <c r="AA31" s="784" t="b">
        <f t="shared" si="18"/>
        <v>0</v>
      </c>
      <c r="AB31" s="784" t="b">
        <f t="shared" si="18"/>
        <v>0</v>
      </c>
      <c r="AC31" s="784" t="b">
        <f t="shared" si="18"/>
        <v>0</v>
      </c>
      <c r="AD31" s="784" t="b">
        <f t="shared" si="18"/>
        <v>0</v>
      </c>
      <c r="AE31" s="784" t="b">
        <f t="shared" si="18"/>
        <v>0</v>
      </c>
      <c r="AF31" s="801">
        <f t="shared" si="19"/>
        <v>1</v>
      </c>
      <c r="AG31" s="802">
        <f t="shared" si="20"/>
        <v>1</v>
      </c>
      <c r="AH31" s="802">
        <f t="shared" si="21"/>
        <v>1</v>
      </c>
      <c r="AI31" s="802">
        <f t="shared" si="22"/>
        <v>1</v>
      </c>
      <c r="AJ31" s="802">
        <f t="shared" si="23"/>
        <v>1</v>
      </c>
      <c r="AK31" s="802">
        <f t="shared" si="24"/>
        <v>1</v>
      </c>
      <c r="AL31" s="802">
        <f t="shared" si="25"/>
        <v>1</v>
      </c>
      <c r="AM31" s="802">
        <f t="shared" si="26"/>
        <v>1</v>
      </c>
      <c r="AN31" s="802">
        <f t="shared" si="27"/>
        <v>1</v>
      </c>
      <c r="AO31" s="802">
        <f t="shared" si="28"/>
        <v>1</v>
      </c>
      <c r="AP31" s="802">
        <f t="shared" si="29"/>
        <v>1</v>
      </c>
      <c r="AQ31" s="803">
        <f t="shared" si="30"/>
        <v>1</v>
      </c>
    </row>
    <row r="32" spans="1:43">
      <c r="A32" s="794" t="str">
        <f t="shared" si="31"/>
        <v>Ca 1,</v>
      </c>
      <c r="B32" s="314" t="s">
        <v>453</v>
      </c>
      <c r="C32" s="314" t="str">
        <f t="shared" si="32"/>
        <v/>
      </c>
      <c r="D32" s="314" t="str">
        <f t="shared" si="33"/>
        <v/>
      </c>
      <c r="E32" s="314" t="str">
        <f t="shared" si="34"/>
        <v/>
      </c>
      <c r="F32" s="314" t="str">
        <f t="shared" si="35"/>
        <v/>
      </c>
      <c r="G32" s="777" t="str">
        <f t="shared" si="36"/>
        <v/>
      </c>
      <c r="H32" s="777" t="str">
        <f t="shared" si="37"/>
        <v/>
      </c>
      <c r="I32" s="777" t="str">
        <f t="shared" si="38"/>
        <v/>
      </c>
      <c r="J32" s="777" t="str">
        <f t="shared" si="39"/>
        <v/>
      </c>
      <c r="K32" s="777" t="str">
        <f t="shared" si="40"/>
        <v/>
      </c>
      <c r="L32" s="777" t="str">
        <f t="shared" si="41"/>
        <v/>
      </c>
      <c r="M32" s="777" t="str">
        <f t="shared" si="42"/>
        <v/>
      </c>
      <c r="N32" s="777" t="str">
        <f t="shared" si="43"/>
        <v/>
      </c>
      <c r="O32" s="777" t="str">
        <f t="shared" si="44"/>
        <v/>
      </c>
      <c r="P32" s="777" t="str">
        <f t="shared" si="45"/>
        <v/>
      </c>
      <c r="Q32" s="777" t="str">
        <f t="shared" si="46"/>
        <v/>
      </c>
      <c r="R32" s="777" t="str">
        <f t="shared" si="47"/>
        <v/>
      </c>
      <c r="T32" s="784" t="b">
        <f t="shared" si="18"/>
        <v>0</v>
      </c>
      <c r="U32" s="784" t="b">
        <f t="shared" si="18"/>
        <v>0</v>
      </c>
      <c r="V32" s="784" t="b">
        <f t="shared" si="18"/>
        <v>0</v>
      </c>
      <c r="W32" s="784" t="b">
        <f t="shared" si="18"/>
        <v>0</v>
      </c>
      <c r="X32" s="784" t="b">
        <f t="shared" si="18"/>
        <v>0</v>
      </c>
      <c r="Y32" s="784" t="b">
        <f t="shared" si="18"/>
        <v>0</v>
      </c>
      <c r="Z32" s="784" t="b">
        <f t="shared" si="18"/>
        <v>0</v>
      </c>
      <c r="AA32" s="784" t="b">
        <f t="shared" si="18"/>
        <v>0</v>
      </c>
      <c r="AB32" s="784" t="b">
        <f t="shared" si="18"/>
        <v>0</v>
      </c>
      <c r="AC32" s="784" t="b">
        <f t="shared" si="18"/>
        <v>0</v>
      </c>
      <c r="AD32" s="784" t="b">
        <f t="shared" si="18"/>
        <v>0</v>
      </c>
      <c r="AE32" s="784" t="b">
        <f t="shared" si="18"/>
        <v>0</v>
      </c>
      <c r="AF32" s="801">
        <f t="shared" si="19"/>
        <v>1</v>
      </c>
      <c r="AG32" s="802">
        <f t="shared" si="20"/>
        <v>1</v>
      </c>
      <c r="AH32" s="802">
        <f t="shared" si="21"/>
        <v>1</v>
      </c>
      <c r="AI32" s="802">
        <f t="shared" si="22"/>
        <v>1</v>
      </c>
      <c r="AJ32" s="802">
        <f t="shared" si="23"/>
        <v>1</v>
      </c>
      <c r="AK32" s="802">
        <f t="shared" si="24"/>
        <v>1</v>
      </c>
      <c r="AL32" s="802">
        <f t="shared" si="25"/>
        <v>1</v>
      </c>
      <c r="AM32" s="802">
        <f t="shared" si="26"/>
        <v>1</v>
      </c>
      <c r="AN32" s="802">
        <f t="shared" si="27"/>
        <v>1</v>
      </c>
      <c r="AO32" s="802">
        <f t="shared" si="28"/>
        <v>1</v>
      </c>
      <c r="AP32" s="802">
        <f t="shared" si="29"/>
        <v>1</v>
      </c>
      <c r="AQ32" s="803">
        <f t="shared" si="30"/>
        <v>1</v>
      </c>
    </row>
    <row r="33" spans="1:43">
      <c r="A33" s="794" t="str">
        <f t="shared" si="31"/>
        <v>Ca 1,</v>
      </c>
      <c r="B33" s="314" t="s">
        <v>466</v>
      </c>
      <c r="C33" s="314" t="str">
        <f t="shared" si="32"/>
        <v/>
      </c>
      <c r="D33" s="314" t="str">
        <f t="shared" si="33"/>
        <v/>
      </c>
      <c r="E33" s="314" t="str">
        <f t="shared" si="34"/>
        <v/>
      </c>
      <c r="F33" s="314" t="str">
        <f t="shared" si="35"/>
        <v/>
      </c>
      <c r="G33" s="777" t="str">
        <f t="shared" si="36"/>
        <v/>
      </c>
      <c r="H33" s="777" t="str">
        <f t="shared" si="37"/>
        <v/>
      </c>
      <c r="I33" s="777" t="str">
        <f t="shared" si="38"/>
        <v/>
      </c>
      <c r="J33" s="777" t="str">
        <f t="shared" si="39"/>
        <v/>
      </c>
      <c r="K33" s="777" t="str">
        <f t="shared" si="40"/>
        <v/>
      </c>
      <c r="L33" s="777" t="str">
        <f t="shared" si="41"/>
        <v/>
      </c>
      <c r="M33" s="777" t="str">
        <f t="shared" si="42"/>
        <v/>
      </c>
      <c r="N33" s="777" t="str">
        <f t="shared" si="43"/>
        <v/>
      </c>
      <c r="O33" s="777" t="str">
        <f t="shared" si="44"/>
        <v/>
      </c>
      <c r="P33" s="777" t="str">
        <f t="shared" si="45"/>
        <v/>
      </c>
      <c r="Q33" s="777" t="str">
        <f t="shared" si="46"/>
        <v/>
      </c>
      <c r="R33" s="777" t="str">
        <f t="shared" si="47"/>
        <v/>
      </c>
      <c r="T33" s="784" t="b">
        <f t="shared" si="18"/>
        <v>0</v>
      </c>
      <c r="U33" s="784" t="b">
        <f t="shared" si="18"/>
        <v>0</v>
      </c>
      <c r="V33" s="784" t="b">
        <f t="shared" si="18"/>
        <v>0</v>
      </c>
      <c r="W33" s="784" t="b">
        <f t="shared" si="18"/>
        <v>0</v>
      </c>
      <c r="X33" s="784" t="b">
        <f t="shared" si="18"/>
        <v>0</v>
      </c>
      <c r="Y33" s="784" t="b">
        <f t="shared" si="18"/>
        <v>0</v>
      </c>
      <c r="Z33" s="784" t="b">
        <f t="shared" si="18"/>
        <v>0</v>
      </c>
      <c r="AA33" s="784" t="b">
        <f t="shared" si="18"/>
        <v>0</v>
      </c>
      <c r="AB33" s="784" t="b">
        <f t="shared" si="18"/>
        <v>0</v>
      </c>
      <c r="AC33" s="784" t="b">
        <f t="shared" si="18"/>
        <v>0</v>
      </c>
      <c r="AD33" s="784" t="b">
        <f t="shared" si="18"/>
        <v>0</v>
      </c>
      <c r="AE33" s="784" t="b">
        <f t="shared" si="18"/>
        <v>0</v>
      </c>
      <c r="AF33" s="801">
        <f t="shared" si="19"/>
        <v>1</v>
      </c>
      <c r="AG33" s="802">
        <f t="shared" si="20"/>
        <v>1</v>
      </c>
      <c r="AH33" s="802">
        <f t="shared" si="21"/>
        <v>1</v>
      </c>
      <c r="AI33" s="802">
        <f t="shared" si="22"/>
        <v>1</v>
      </c>
      <c r="AJ33" s="802">
        <f t="shared" si="23"/>
        <v>1</v>
      </c>
      <c r="AK33" s="802">
        <f t="shared" si="24"/>
        <v>1</v>
      </c>
      <c r="AL33" s="802">
        <f t="shared" si="25"/>
        <v>1</v>
      </c>
      <c r="AM33" s="802">
        <f t="shared" si="26"/>
        <v>1</v>
      </c>
      <c r="AN33" s="802">
        <f t="shared" si="27"/>
        <v>1</v>
      </c>
      <c r="AO33" s="802">
        <f t="shared" si="28"/>
        <v>1</v>
      </c>
      <c r="AP33" s="802">
        <f t="shared" si="29"/>
        <v>1</v>
      </c>
      <c r="AQ33" s="803">
        <f t="shared" si="30"/>
        <v>1</v>
      </c>
    </row>
    <row r="34" spans="1:43">
      <c r="A34" s="794" t="str">
        <f t="shared" si="31"/>
        <v>Ca 1,</v>
      </c>
      <c r="B34" s="314" t="s">
        <v>467</v>
      </c>
      <c r="C34" s="314" t="str">
        <f t="shared" si="32"/>
        <v/>
      </c>
      <c r="D34" s="314" t="str">
        <f t="shared" si="33"/>
        <v/>
      </c>
      <c r="E34" s="314" t="str">
        <f t="shared" si="34"/>
        <v/>
      </c>
      <c r="F34" s="314" t="str">
        <f t="shared" si="35"/>
        <v/>
      </c>
      <c r="G34" s="777" t="str">
        <f t="shared" si="36"/>
        <v/>
      </c>
      <c r="H34" s="777" t="str">
        <f t="shared" si="37"/>
        <v/>
      </c>
      <c r="I34" s="777" t="str">
        <f t="shared" si="38"/>
        <v/>
      </c>
      <c r="J34" s="777" t="str">
        <f t="shared" si="39"/>
        <v/>
      </c>
      <c r="K34" s="777" t="str">
        <f t="shared" si="40"/>
        <v/>
      </c>
      <c r="L34" s="777" t="str">
        <f t="shared" si="41"/>
        <v/>
      </c>
      <c r="M34" s="777" t="str">
        <f t="shared" si="42"/>
        <v/>
      </c>
      <c r="N34" s="777" t="str">
        <f t="shared" si="43"/>
        <v/>
      </c>
      <c r="O34" s="777" t="str">
        <f t="shared" si="44"/>
        <v/>
      </c>
      <c r="P34" s="777" t="str">
        <f t="shared" si="45"/>
        <v/>
      </c>
      <c r="Q34" s="777" t="str">
        <f t="shared" si="46"/>
        <v/>
      </c>
      <c r="R34" s="777" t="str">
        <f t="shared" si="47"/>
        <v/>
      </c>
      <c r="T34" s="784" t="b">
        <f t="shared" si="18"/>
        <v>0</v>
      </c>
      <c r="U34" s="784" t="b">
        <f t="shared" si="18"/>
        <v>0</v>
      </c>
      <c r="V34" s="784" t="b">
        <f t="shared" si="18"/>
        <v>0</v>
      </c>
      <c r="W34" s="784" t="b">
        <f t="shared" si="18"/>
        <v>0</v>
      </c>
      <c r="X34" s="784" t="b">
        <f t="shared" si="18"/>
        <v>0</v>
      </c>
      <c r="Y34" s="784" t="b">
        <f t="shared" si="18"/>
        <v>0</v>
      </c>
      <c r="Z34" s="784" t="b">
        <f t="shared" si="18"/>
        <v>0</v>
      </c>
      <c r="AA34" s="784" t="b">
        <f t="shared" si="18"/>
        <v>0</v>
      </c>
      <c r="AB34" s="784" t="b">
        <f t="shared" si="18"/>
        <v>0</v>
      </c>
      <c r="AC34" s="784" t="b">
        <f t="shared" si="18"/>
        <v>0</v>
      </c>
      <c r="AD34" s="784" t="b">
        <f t="shared" si="18"/>
        <v>0</v>
      </c>
      <c r="AE34" s="784" t="b">
        <f t="shared" si="18"/>
        <v>0</v>
      </c>
      <c r="AF34" s="801">
        <f t="shared" si="19"/>
        <v>1</v>
      </c>
      <c r="AG34" s="802">
        <f t="shared" si="20"/>
        <v>1</v>
      </c>
      <c r="AH34" s="802">
        <f t="shared" si="21"/>
        <v>1</v>
      </c>
      <c r="AI34" s="802">
        <f t="shared" si="22"/>
        <v>1</v>
      </c>
      <c r="AJ34" s="802">
        <f t="shared" si="23"/>
        <v>1</v>
      </c>
      <c r="AK34" s="802">
        <f t="shared" si="24"/>
        <v>1</v>
      </c>
      <c r="AL34" s="802">
        <f t="shared" si="25"/>
        <v>1</v>
      </c>
      <c r="AM34" s="802">
        <f t="shared" si="26"/>
        <v>1</v>
      </c>
      <c r="AN34" s="802">
        <f t="shared" si="27"/>
        <v>1</v>
      </c>
      <c r="AO34" s="802">
        <f t="shared" si="28"/>
        <v>1</v>
      </c>
      <c r="AP34" s="802">
        <f t="shared" si="29"/>
        <v>1</v>
      </c>
      <c r="AQ34" s="803">
        <f t="shared" si="30"/>
        <v>1</v>
      </c>
    </row>
    <row r="35" spans="1:43">
      <c r="A35" s="794" t="str">
        <f t="shared" si="31"/>
        <v>Ca 1,</v>
      </c>
      <c r="B35" s="314" t="s">
        <v>468</v>
      </c>
      <c r="C35" s="314" t="str">
        <f t="shared" si="32"/>
        <v/>
      </c>
      <c r="D35" s="314" t="str">
        <f t="shared" si="33"/>
        <v/>
      </c>
      <c r="E35" s="314" t="str">
        <f t="shared" si="34"/>
        <v/>
      </c>
      <c r="F35" s="314" t="str">
        <f t="shared" si="35"/>
        <v/>
      </c>
      <c r="G35" s="777" t="str">
        <f t="shared" si="36"/>
        <v/>
      </c>
      <c r="H35" s="777" t="str">
        <f t="shared" si="37"/>
        <v/>
      </c>
      <c r="I35" s="777" t="str">
        <f t="shared" si="38"/>
        <v/>
      </c>
      <c r="J35" s="777" t="str">
        <f t="shared" si="39"/>
        <v/>
      </c>
      <c r="K35" s="777" t="str">
        <f t="shared" si="40"/>
        <v/>
      </c>
      <c r="L35" s="777" t="str">
        <f t="shared" si="41"/>
        <v/>
      </c>
      <c r="M35" s="777" t="str">
        <f t="shared" si="42"/>
        <v/>
      </c>
      <c r="N35" s="777" t="str">
        <f t="shared" si="43"/>
        <v/>
      </c>
      <c r="O35" s="777" t="str">
        <f t="shared" si="44"/>
        <v/>
      </c>
      <c r="P35" s="777" t="str">
        <f t="shared" si="45"/>
        <v/>
      </c>
      <c r="Q35" s="777" t="str">
        <f t="shared" si="46"/>
        <v/>
      </c>
      <c r="R35" s="777" t="str">
        <f t="shared" si="47"/>
        <v/>
      </c>
      <c r="T35" s="784" t="b">
        <f t="shared" si="18"/>
        <v>0</v>
      </c>
      <c r="U35" s="784" t="b">
        <f t="shared" si="18"/>
        <v>0</v>
      </c>
      <c r="V35" s="784" t="b">
        <f t="shared" si="18"/>
        <v>0</v>
      </c>
      <c r="W35" s="784" t="b">
        <f t="shared" si="18"/>
        <v>0</v>
      </c>
      <c r="X35" s="784" t="b">
        <f t="shared" si="18"/>
        <v>0</v>
      </c>
      <c r="Y35" s="784" t="b">
        <f t="shared" si="18"/>
        <v>0</v>
      </c>
      <c r="Z35" s="784" t="b">
        <f t="shared" si="18"/>
        <v>0</v>
      </c>
      <c r="AA35" s="784" t="b">
        <f t="shared" si="18"/>
        <v>0</v>
      </c>
      <c r="AB35" s="784" t="b">
        <f t="shared" si="18"/>
        <v>0</v>
      </c>
      <c r="AC35" s="784" t="b">
        <f t="shared" si="18"/>
        <v>0</v>
      </c>
      <c r="AD35" s="784" t="b">
        <f t="shared" si="18"/>
        <v>0</v>
      </c>
      <c r="AE35" s="784" t="b">
        <f t="shared" si="18"/>
        <v>0</v>
      </c>
      <c r="AF35" s="801">
        <f t="shared" si="19"/>
        <v>1</v>
      </c>
      <c r="AG35" s="802">
        <f t="shared" si="20"/>
        <v>1</v>
      </c>
      <c r="AH35" s="802">
        <f t="shared" si="21"/>
        <v>1</v>
      </c>
      <c r="AI35" s="802">
        <f t="shared" si="22"/>
        <v>1</v>
      </c>
      <c r="AJ35" s="802">
        <f t="shared" si="23"/>
        <v>1</v>
      </c>
      <c r="AK35" s="802">
        <f t="shared" si="24"/>
        <v>1</v>
      </c>
      <c r="AL35" s="802">
        <f t="shared" si="25"/>
        <v>1</v>
      </c>
      <c r="AM35" s="802">
        <f t="shared" si="26"/>
        <v>1</v>
      </c>
      <c r="AN35" s="802">
        <f t="shared" si="27"/>
        <v>1</v>
      </c>
      <c r="AO35" s="802">
        <f t="shared" si="28"/>
        <v>1</v>
      </c>
      <c r="AP35" s="802">
        <f t="shared" si="29"/>
        <v>1</v>
      </c>
      <c r="AQ35" s="803">
        <f t="shared" si="30"/>
        <v>1</v>
      </c>
    </row>
    <row r="36" spans="1:43">
      <c r="A36" s="794" t="str">
        <f t="shared" si="31"/>
        <v>Ca 1,</v>
      </c>
      <c r="B36" s="314" t="s">
        <v>503</v>
      </c>
      <c r="C36" s="314" t="str">
        <f t="shared" si="32"/>
        <v>Xà bông 1
預脫脂</v>
      </c>
      <c r="D36" s="314" t="str">
        <f t="shared" si="33"/>
        <v>XD-000A</v>
      </c>
      <c r="E36" s="314" t="str">
        <f t="shared" si="34"/>
        <v>0C</v>
      </c>
      <c r="F36" s="314" t="str">
        <f t="shared" si="35"/>
        <v>51~59OC
(55OC)</v>
      </c>
      <c r="G36" s="777">
        <f t="shared" si="36"/>
        <v>62</v>
      </c>
      <c r="H36" s="777">
        <f t="shared" si="37"/>
        <v>62</v>
      </c>
      <c r="I36" s="777">
        <f t="shared" si="38"/>
        <v>0</v>
      </c>
      <c r="J36" s="777">
        <f t="shared" si="39"/>
        <v>0</v>
      </c>
      <c r="K36" s="777">
        <f t="shared" si="40"/>
        <v>0</v>
      </c>
      <c r="L36" s="777">
        <f t="shared" si="41"/>
        <v>0</v>
      </c>
      <c r="M36" s="777">
        <f t="shared" si="42"/>
        <v>0</v>
      </c>
      <c r="N36" s="777">
        <f t="shared" si="43"/>
        <v>0</v>
      </c>
      <c r="O36" s="777">
        <f t="shared" si="44"/>
        <v>0</v>
      </c>
      <c r="P36" s="777">
        <f t="shared" si="45"/>
        <v>0</v>
      </c>
      <c r="Q36" s="777">
        <f t="shared" si="46"/>
        <v>0</v>
      </c>
      <c r="R36" s="777">
        <f t="shared" si="47"/>
        <v>0</v>
      </c>
      <c r="T36" s="784" t="b">
        <f t="shared" si="18"/>
        <v>1</v>
      </c>
      <c r="U36" s="784" t="b">
        <f t="shared" si="18"/>
        <v>1</v>
      </c>
      <c r="V36" s="784" t="b">
        <f t="shared" si="18"/>
        <v>1</v>
      </c>
      <c r="W36" s="784" t="b">
        <f t="shared" si="18"/>
        <v>1</v>
      </c>
      <c r="X36" s="784" t="b">
        <f t="shared" si="18"/>
        <v>1</v>
      </c>
      <c r="Y36" s="784" t="b">
        <f t="shared" si="18"/>
        <v>1</v>
      </c>
      <c r="Z36" s="784" t="b">
        <f t="shared" si="18"/>
        <v>1</v>
      </c>
      <c r="AA36" s="784" t="b">
        <f t="shared" si="18"/>
        <v>1</v>
      </c>
      <c r="AB36" s="784" t="b">
        <f t="shared" si="18"/>
        <v>1</v>
      </c>
      <c r="AC36" s="784" t="b">
        <f t="shared" si="18"/>
        <v>1</v>
      </c>
      <c r="AD36" s="784" t="b">
        <f t="shared" si="18"/>
        <v>1</v>
      </c>
      <c r="AE36" s="784" t="b">
        <f t="shared" si="18"/>
        <v>1</v>
      </c>
      <c r="AF36" s="801" t="str">
        <f t="shared" si="19"/>
        <v/>
      </c>
      <c r="AG36" s="802" t="str">
        <f t="shared" si="20"/>
        <v/>
      </c>
      <c r="AH36" s="802" t="str">
        <f t="shared" si="21"/>
        <v/>
      </c>
      <c r="AI36" s="802" t="str">
        <f t="shared" si="22"/>
        <v/>
      </c>
      <c r="AJ36" s="802" t="str">
        <f t="shared" si="23"/>
        <v/>
      </c>
      <c r="AK36" s="802" t="str">
        <f t="shared" si="24"/>
        <v/>
      </c>
      <c r="AL36" s="802" t="str">
        <f t="shared" si="25"/>
        <v/>
      </c>
      <c r="AM36" s="802" t="str">
        <f t="shared" si="26"/>
        <v/>
      </c>
      <c r="AN36" s="802" t="str">
        <f t="shared" si="27"/>
        <v/>
      </c>
      <c r="AO36" s="802" t="str">
        <f t="shared" si="28"/>
        <v/>
      </c>
      <c r="AP36" s="802" t="str">
        <f t="shared" si="29"/>
        <v/>
      </c>
      <c r="AQ36" s="803" t="str">
        <f t="shared" si="30"/>
        <v/>
      </c>
    </row>
    <row r="37" spans="1:43">
      <c r="A37" s="794" t="str">
        <f t="shared" si="31"/>
        <v>Ca 1,</v>
      </c>
      <c r="B37" s="314" t="s">
        <v>505</v>
      </c>
      <c r="C37" s="314" t="str">
        <f t="shared" si="32"/>
        <v>Xà bông 2
主脫脂</v>
      </c>
      <c r="D37" s="314" t="str">
        <f t="shared" si="33"/>
        <v>XD-000A</v>
      </c>
      <c r="E37" s="314" t="str">
        <f t="shared" si="34"/>
        <v>0C</v>
      </c>
      <c r="F37" s="314" t="str">
        <f t="shared" si="35"/>
        <v>51~59OC
(55OC)</v>
      </c>
      <c r="G37" s="777">
        <f t="shared" si="36"/>
        <v>63</v>
      </c>
      <c r="H37" s="777">
        <f t="shared" si="37"/>
        <v>60</v>
      </c>
      <c r="I37" s="777">
        <f t="shared" si="38"/>
        <v>0</v>
      </c>
      <c r="J37" s="777">
        <f t="shared" si="39"/>
        <v>0</v>
      </c>
      <c r="K37" s="777">
        <f t="shared" si="40"/>
        <v>0</v>
      </c>
      <c r="L37" s="777">
        <f t="shared" si="41"/>
        <v>0</v>
      </c>
      <c r="M37" s="777">
        <f t="shared" si="42"/>
        <v>0</v>
      </c>
      <c r="N37" s="777">
        <f t="shared" si="43"/>
        <v>0</v>
      </c>
      <c r="O37" s="777">
        <f t="shared" si="44"/>
        <v>0</v>
      </c>
      <c r="P37" s="777">
        <f t="shared" si="45"/>
        <v>0</v>
      </c>
      <c r="Q37" s="777">
        <f t="shared" si="46"/>
        <v>0</v>
      </c>
      <c r="R37" s="777">
        <f t="shared" si="47"/>
        <v>0</v>
      </c>
      <c r="T37" s="784" t="b">
        <f t="shared" si="18"/>
        <v>1</v>
      </c>
      <c r="U37" s="784" t="b">
        <f t="shared" si="18"/>
        <v>1</v>
      </c>
      <c r="V37" s="784" t="b">
        <f t="shared" si="18"/>
        <v>1</v>
      </c>
      <c r="W37" s="784" t="b">
        <f t="shared" si="18"/>
        <v>1</v>
      </c>
      <c r="X37" s="784" t="b">
        <f t="shared" si="18"/>
        <v>1</v>
      </c>
      <c r="Y37" s="784" t="b">
        <f t="shared" si="18"/>
        <v>1</v>
      </c>
      <c r="Z37" s="784" t="b">
        <f t="shared" si="18"/>
        <v>1</v>
      </c>
      <c r="AA37" s="784" t="b">
        <f t="shared" si="18"/>
        <v>1</v>
      </c>
      <c r="AB37" s="784" t="b">
        <f t="shared" si="18"/>
        <v>1</v>
      </c>
      <c r="AC37" s="784" t="b">
        <f t="shared" si="18"/>
        <v>1</v>
      </c>
      <c r="AD37" s="784" t="b">
        <f t="shared" si="18"/>
        <v>1</v>
      </c>
      <c r="AE37" s="784" t="b">
        <f t="shared" si="18"/>
        <v>1</v>
      </c>
      <c r="AF37" s="801" t="str">
        <f t="shared" si="19"/>
        <v/>
      </c>
      <c r="AG37" s="802" t="str">
        <f t="shared" si="20"/>
        <v/>
      </c>
      <c r="AH37" s="802" t="str">
        <f t="shared" si="21"/>
        <v/>
      </c>
      <c r="AI37" s="802" t="str">
        <f t="shared" si="22"/>
        <v/>
      </c>
      <c r="AJ37" s="802" t="str">
        <f t="shared" si="23"/>
        <v/>
      </c>
      <c r="AK37" s="802" t="str">
        <f t="shared" si="24"/>
        <v/>
      </c>
      <c r="AL37" s="802" t="str">
        <f t="shared" si="25"/>
        <v/>
      </c>
      <c r="AM37" s="802" t="str">
        <f t="shared" si="26"/>
        <v/>
      </c>
      <c r="AN37" s="802" t="str">
        <f t="shared" si="27"/>
        <v/>
      </c>
      <c r="AO37" s="802" t="str">
        <f t="shared" si="28"/>
        <v/>
      </c>
      <c r="AP37" s="802" t="str">
        <f t="shared" si="29"/>
        <v/>
      </c>
      <c r="AQ37" s="803" t="str">
        <f t="shared" si="30"/>
        <v/>
      </c>
    </row>
    <row r="38" spans="1:43">
      <c r="A38" s="794" t="str">
        <f t="shared" si="31"/>
        <v>Ca 1,</v>
      </c>
      <c r="B38" s="314" t="s">
        <v>506</v>
      </c>
      <c r="C38" s="314" t="str">
        <f t="shared" si="32"/>
        <v xml:space="preserve">Xà bông siêu âm
超音波脫脂
</v>
      </c>
      <c r="D38" s="314" t="str">
        <f t="shared" si="33"/>
        <v>XD-000A</v>
      </c>
      <c r="E38" s="314" t="str">
        <f t="shared" si="34"/>
        <v>0C</v>
      </c>
      <c r="F38" s="314" t="str">
        <f t="shared" si="35"/>
        <v>51~59OC
(55OC)</v>
      </c>
      <c r="G38" s="777">
        <f t="shared" si="36"/>
        <v>58</v>
      </c>
      <c r="H38" s="777">
        <f t="shared" si="37"/>
        <v>59</v>
      </c>
      <c r="I38" s="777">
        <f t="shared" si="38"/>
        <v>0</v>
      </c>
      <c r="J38" s="777">
        <f t="shared" si="39"/>
        <v>0</v>
      </c>
      <c r="K38" s="777">
        <f t="shared" si="40"/>
        <v>0</v>
      </c>
      <c r="L38" s="777">
        <f t="shared" si="41"/>
        <v>0</v>
      </c>
      <c r="M38" s="777">
        <f t="shared" si="42"/>
        <v>0</v>
      </c>
      <c r="N38" s="777">
        <f t="shared" si="43"/>
        <v>0</v>
      </c>
      <c r="O38" s="777">
        <f t="shared" si="44"/>
        <v>0</v>
      </c>
      <c r="P38" s="777">
        <f t="shared" si="45"/>
        <v>0</v>
      </c>
      <c r="Q38" s="777">
        <f t="shared" si="46"/>
        <v>0</v>
      </c>
      <c r="R38" s="777">
        <f t="shared" si="47"/>
        <v>0</v>
      </c>
      <c r="T38" s="784" t="b">
        <f t="shared" si="18"/>
        <v>1</v>
      </c>
      <c r="U38" s="784" t="b">
        <f t="shared" si="18"/>
        <v>1</v>
      </c>
      <c r="V38" s="784" t="b">
        <f t="shared" si="18"/>
        <v>1</v>
      </c>
      <c r="W38" s="784" t="b">
        <f t="shared" si="18"/>
        <v>1</v>
      </c>
      <c r="X38" s="784" t="b">
        <f t="shared" si="18"/>
        <v>1</v>
      </c>
      <c r="Y38" s="784" t="b">
        <f t="shared" si="18"/>
        <v>1</v>
      </c>
      <c r="Z38" s="784" t="b">
        <f t="shared" si="18"/>
        <v>1</v>
      </c>
      <c r="AA38" s="784" t="b">
        <f t="shared" si="18"/>
        <v>1</v>
      </c>
      <c r="AB38" s="784" t="b">
        <f t="shared" si="18"/>
        <v>1</v>
      </c>
      <c r="AC38" s="784" t="b">
        <f t="shared" si="18"/>
        <v>1</v>
      </c>
      <c r="AD38" s="784" t="b">
        <f t="shared" si="18"/>
        <v>1</v>
      </c>
      <c r="AE38" s="784" t="b">
        <f t="shared" si="18"/>
        <v>1</v>
      </c>
      <c r="AF38" s="801" t="str">
        <f t="shared" si="19"/>
        <v/>
      </c>
      <c r="AG38" s="802" t="str">
        <f t="shared" si="20"/>
        <v/>
      </c>
      <c r="AH38" s="802" t="str">
        <f t="shared" si="21"/>
        <v/>
      </c>
      <c r="AI38" s="802" t="str">
        <f t="shared" si="22"/>
        <v/>
      </c>
      <c r="AJ38" s="802" t="str">
        <f t="shared" si="23"/>
        <v/>
      </c>
      <c r="AK38" s="802" t="str">
        <f t="shared" si="24"/>
        <v/>
      </c>
      <c r="AL38" s="802" t="str">
        <f t="shared" si="25"/>
        <v/>
      </c>
      <c r="AM38" s="802" t="str">
        <f t="shared" si="26"/>
        <v/>
      </c>
      <c r="AN38" s="802" t="str">
        <f t="shared" si="27"/>
        <v/>
      </c>
      <c r="AO38" s="802" t="str">
        <f t="shared" si="28"/>
        <v/>
      </c>
      <c r="AP38" s="802" t="str">
        <f t="shared" si="29"/>
        <v/>
      </c>
      <c r="AQ38" s="803" t="str">
        <f t="shared" si="30"/>
        <v/>
      </c>
    </row>
    <row r="39" spans="1:43">
      <c r="A39" s="794" t="str">
        <f t="shared" si="31"/>
        <v>Ca 1,</v>
      </c>
      <c r="B39" s="314" t="s">
        <v>507</v>
      </c>
      <c r="C39" s="314" t="str">
        <f t="shared" si="32"/>
        <v>phosphat    
磷化處理</v>
      </c>
      <c r="D39" s="314" t="str">
        <f t="shared" si="33"/>
        <v>XD-000A</v>
      </c>
      <c r="E39" s="314" t="str">
        <f t="shared" si="34"/>
        <v>0C</v>
      </c>
      <c r="F39" s="314" t="str">
        <f t="shared" si="35"/>
        <v>30~40OC
(35OC)</v>
      </c>
      <c r="G39" s="777">
        <f t="shared" si="36"/>
        <v>40</v>
      </c>
      <c r="H39" s="777">
        <f t="shared" si="37"/>
        <v>34</v>
      </c>
      <c r="I39" s="777">
        <f t="shared" si="38"/>
        <v>0</v>
      </c>
      <c r="J39" s="777">
        <f t="shared" si="39"/>
        <v>0</v>
      </c>
      <c r="K39" s="777">
        <f t="shared" si="40"/>
        <v>0</v>
      </c>
      <c r="L39" s="777">
        <f t="shared" si="41"/>
        <v>0</v>
      </c>
      <c r="M39" s="777">
        <f t="shared" si="42"/>
        <v>0</v>
      </c>
      <c r="N39" s="777">
        <f t="shared" si="43"/>
        <v>0</v>
      </c>
      <c r="O39" s="777">
        <f t="shared" si="44"/>
        <v>0</v>
      </c>
      <c r="P39" s="777">
        <f t="shared" si="45"/>
        <v>0</v>
      </c>
      <c r="Q39" s="777">
        <f t="shared" si="46"/>
        <v>0</v>
      </c>
      <c r="R39" s="777">
        <f t="shared" si="47"/>
        <v>0</v>
      </c>
      <c r="T39" s="784" t="b">
        <f t="shared" si="18"/>
        <v>1</v>
      </c>
      <c r="U39" s="784" t="b">
        <f t="shared" si="18"/>
        <v>1</v>
      </c>
      <c r="V39" s="784" t="b">
        <f t="shared" si="18"/>
        <v>1</v>
      </c>
      <c r="W39" s="784" t="b">
        <f t="shared" si="18"/>
        <v>1</v>
      </c>
      <c r="X39" s="784" t="b">
        <f t="shared" si="18"/>
        <v>1</v>
      </c>
      <c r="Y39" s="784" t="b">
        <f t="shared" si="18"/>
        <v>1</v>
      </c>
      <c r="Z39" s="784" t="b">
        <f t="shared" si="18"/>
        <v>1</v>
      </c>
      <c r="AA39" s="784" t="b">
        <f t="shared" si="18"/>
        <v>1</v>
      </c>
      <c r="AB39" s="784" t="b">
        <f t="shared" si="18"/>
        <v>1</v>
      </c>
      <c r="AC39" s="784" t="b">
        <f t="shared" si="18"/>
        <v>1</v>
      </c>
      <c r="AD39" s="784" t="b">
        <f t="shared" si="18"/>
        <v>1</v>
      </c>
      <c r="AE39" s="784" t="b">
        <f t="shared" si="18"/>
        <v>1</v>
      </c>
      <c r="AF39" s="801" t="str">
        <f t="shared" si="19"/>
        <v/>
      </c>
      <c r="AG39" s="802" t="str">
        <f t="shared" si="20"/>
        <v/>
      </c>
      <c r="AH39" s="802" t="str">
        <f t="shared" si="21"/>
        <v/>
      </c>
      <c r="AI39" s="802" t="str">
        <f t="shared" si="22"/>
        <v/>
      </c>
      <c r="AJ39" s="802" t="str">
        <f t="shared" si="23"/>
        <v/>
      </c>
      <c r="AK39" s="802" t="str">
        <f t="shared" si="24"/>
        <v/>
      </c>
      <c r="AL39" s="802" t="str">
        <f t="shared" si="25"/>
        <v/>
      </c>
      <c r="AM39" s="802" t="str">
        <f t="shared" si="26"/>
        <v/>
      </c>
      <c r="AN39" s="802" t="str">
        <f t="shared" si="27"/>
        <v/>
      </c>
      <c r="AO39" s="802" t="str">
        <f t="shared" si="28"/>
        <v/>
      </c>
      <c r="AP39" s="802" t="str">
        <f t="shared" si="29"/>
        <v/>
      </c>
      <c r="AQ39" s="803" t="str">
        <f t="shared" si="30"/>
        <v/>
      </c>
    </row>
    <row r="40" spans="1:43">
      <c r="A40" s="794" t="str">
        <f t="shared" si="31"/>
        <v>Ca 1,</v>
      </c>
      <c r="B40" s="314" t="s">
        <v>510</v>
      </c>
      <c r="C40" s="314" t="str">
        <f t="shared" si="32"/>
        <v>ED電泳 
ED Bồn sơn tĩnh điện  1</v>
      </c>
      <c r="D40" s="314" t="str">
        <f t="shared" si="33"/>
        <v>XD-000A</v>
      </c>
      <c r="E40" s="314" t="str">
        <f t="shared" si="34"/>
        <v>0C</v>
      </c>
      <c r="F40" s="314" t="str">
        <f t="shared" si="35"/>
        <v>26~32OC
(29OC)</v>
      </c>
      <c r="G40" s="777">
        <f t="shared" si="36"/>
        <v>31</v>
      </c>
      <c r="H40" s="777">
        <f t="shared" si="37"/>
        <v>31</v>
      </c>
      <c r="I40" s="777">
        <f t="shared" si="38"/>
        <v>0</v>
      </c>
      <c r="J40" s="777">
        <f t="shared" si="39"/>
        <v>0</v>
      </c>
      <c r="K40" s="777">
        <f t="shared" si="40"/>
        <v>0</v>
      </c>
      <c r="L40" s="777">
        <f t="shared" si="41"/>
        <v>0</v>
      </c>
      <c r="M40" s="777">
        <f t="shared" si="42"/>
        <v>0</v>
      </c>
      <c r="N40" s="777">
        <f t="shared" si="43"/>
        <v>0</v>
      </c>
      <c r="O40" s="777">
        <f t="shared" si="44"/>
        <v>0</v>
      </c>
      <c r="P40" s="777">
        <f t="shared" si="45"/>
        <v>0</v>
      </c>
      <c r="Q40" s="777">
        <f t="shared" si="46"/>
        <v>0</v>
      </c>
      <c r="R40" s="777">
        <f t="shared" si="47"/>
        <v>0</v>
      </c>
      <c r="T40" s="784" t="b">
        <f t="shared" ref="T40:AE51" si="48">ISNUMBER(G40)</f>
        <v>1</v>
      </c>
      <c r="U40" s="784" t="b">
        <f t="shared" si="48"/>
        <v>1</v>
      </c>
      <c r="V40" s="784" t="b">
        <f t="shared" si="48"/>
        <v>1</v>
      </c>
      <c r="W40" s="784" t="b">
        <f t="shared" si="48"/>
        <v>1</v>
      </c>
      <c r="X40" s="784" t="b">
        <f t="shared" si="48"/>
        <v>1</v>
      </c>
      <c r="Y40" s="784" t="b">
        <f t="shared" si="48"/>
        <v>1</v>
      </c>
      <c r="Z40" s="784" t="b">
        <f t="shared" si="48"/>
        <v>1</v>
      </c>
      <c r="AA40" s="784" t="b">
        <f t="shared" si="48"/>
        <v>1</v>
      </c>
      <c r="AB40" s="784" t="b">
        <f t="shared" si="48"/>
        <v>1</v>
      </c>
      <c r="AC40" s="784" t="b">
        <f t="shared" si="48"/>
        <v>1</v>
      </c>
      <c r="AD40" s="784" t="b">
        <f t="shared" si="48"/>
        <v>1</v>
      </c>
      <c r="AE40" s="784" t="b">
        <f t="shared" si="48"/>
        <v>1</v>
      </c>
      <c r="AF40" s="801" t="str">
        <f t="shared" si="19"/>
        <v/>
      </c>
      <c r="AG40" s="802" t="str">
        <f t="shared" si="20"/>
        <v/>
      </c>
      <c r="AH40" s="802" t="str">
        <f t="shared" si="21"/>
        <v/>
      </c>
      <c r="AI40" s="802" t="str">
        <f t="shared" si="22"/>
        <v/>
      </c>
      <c r="AJ40" s="802" t="str">
        <f t="shared" si="23"/>
        <v/>
      </c>
      <c r="AK40" s="802" t="str">
        <f t="shared" si="24"/>
        <v/>
      </c>
      <c r="AL40" s="802" t="str">
        <f t="shared" si="25"/>
        <v/>
      </c>
      <c r="AM40" s="802" t="str">
        <f t="shared" si="26"/>
        <v/>
      </c>
      <c r="AN40" s="802" t="str">
        <f t="shared" si="27"/>
        <v/>
      </c>
      <c r="AO40" s="802" t="str">
        <f t="shared" si="28"/>
        <v/>
      </c>
      <c r="AP40" s="802" t="str">
        <f t="shared" si="29"/>
        <v/>
      </c>
      <c r="AQ40" s="803" t="str">
        <f t="shared" si="30"/>
        <v/>
      </c>
    </row>
    <row r="41" spans="1:43">
      <c r="A41" s="794" t="str">
        <f t="shared" ref="A41:A51" si="49">IF(B41="","",$A$4)</f>
        <v>Ca 1,</v>
      </c>
      <c r="B41" s="314" t="s">
        <v>515</v>
      </c>
      <c r="C41" s="314" t="str">
        <f t="shared" si="32"/>
        <v xml:space="preserve">sấy khô  烘乾 </v>
      </c>
      <c r="D41" s="314" t="str">
        <f t="shared" si="33"/>
        <v>XD-000A</v>
      </c>
      <c r="E41" s="314" t="str">
        <f t="shared" si="34"/>
        <v>0C</v>
      </c>
      <c r="F41" s="314" t="str">
        <f t="shared" si="35"/>
        <v>170~220℃ 
(195OC)</v>
      </c>
      <c r="G41" s="777">
        <f t="shared" si="36"/>
        <v>0</v>
      </c>
      <c r="H41" s="777">
        <f t="shared" si="37"/>
        <v>35</v>
      </c>
      <c r="I41" s="777">
        <f t="shared" si="38"/>
        <v>0</v>
      </c>
      <c r="J41" s="777">
        <f t="shared" si="39"/>
        <v>0</v>
      </c>
      <c r="K41" s="777">
        <f t="shared" si="40"/>
        <v>0</v>
      </c>
      <c r="L41" s="777">
        <f t="shared" si="41"/>
        <v>0</v>
      </c>
      <c r="M41" s="777">
        <f t="shared" si="42"/>
        <v>0</v>
      </c>
      <c r="N41" s="777">
        <f t="shared" si="43"/>
        <v>0</v>
      </c>
      <c r="O41" s="777">
        <f t="shared" si="44"/>
        <v>0</v>
      </c>
      <c r="P41" s="777">
        <f t="shared" si="45"/>
        <v>0</v>
      </c>
      <c r="Q41" s="777">
        <f t="shared" si="46"/>
        <v>0</v>
      </c>
      <c r="R41" s="777">
        <f t="shared" si="47"/>
        <v>0</v>
      </c>
      <c r="T41" s="784" t="b">
        <f t="shared" si="48"/>
        <v>1</v>
      </c>
      <c r="U41" s="784" t="b">
        <f t="shared" si="48"/>
        <v>1</v>
      </c>
      <c r="V41" s="784" t="b">
        <f t="shared" si="48"/>
        <v>1</v>
      </c>
      <c r="W41" s="784" t="b">
        <f t="shared" si="48"/>
        <v>1</v>
      </c>
      <c r="X41" s="784" t="b">
        <f t="shared" si="48"/>
        <v>1</v>
      </c>
      <c r="Y41" s="784" t="b">
        <f t="shared" si="48"/>
        <v>1</v>
      </c>
      <c r="Z41" s="784" t="b">
        <f t="shared" si="48"/>
        <v>1</v>
      </c>
      <c r="AA41" s="784" t="b">
        <f t="shared" si="48"/>
        <v>1</v>
      </c>
      <c r="AB41" s="784" t="b">
        <f t="shared" si="48"/>
        <v>1</v>
      </c>
      <c r="AC41" s="784" t="b">
        <f t="shared" si="48"/>
        <v>1</v>
      </c>
      <c r="AD41" s="784" t="b">
        <f t="shared" si="48"/>
        <v>1</v>
      </c>
      <c r="AE41" s="784" t="b">
        <f t="shared" si="48"/>
        <v>1</v>
      </c>
      <c r="AF41" s="801" t="str">
        <f t="shared" si="19"/>
        <v/>
      </c>
      <c r="AG41" s="802" t="str">
        <f t="shared" si="20"/>
        <v/>
      </c>
      <c r="AH41" s="802" t="str">
        <f t="shared" si="21"/>
        <v/>
      </c>
      <c r="AI41" s="802" t="str">
        <f t="shared" si="22"/>
        <v/>
      </c>
      <c r="AJ41" s="802" t="str">
        <f t="shared" si="23"/>
        <v/>
      </c>
      <c r="AK41" s="802" t="str">
        <f t="shared" si="24"/>
        <v/>
      </c>
      <c r="AL41" s="802" t="str">
        <f t="shared" si="25"/>
        <v/>
      </c>
      <c r="AM41" s="802" t="str">
        <f t="shared" si="26"/>
        <v/>
      </c>
      <c r="AN41" s="802" t="str">
        <f t="shared" si="27"/>
        <v/>
      </c>
      <c r="AO41" s="802" t="str">
        <f t="shared" si="28"/>
        <v/>
      </c>
      <c r="AP41" s="802" t="str">
        <f t="shared" si="29"/>
        <v/>
      </c>
      <c r="AQ41" s="803" t="str">
        <f t="shared" si="30"/>
        <v/>
      </c>
    </row>
    <row r="42" spans="1:43">
      <c r="A42" s="794" t="str">
        <f t="shared" si="49"/>
        <v>Ca 1,</v>
      </c>
      <c r="B42" s="314" t="s">
        <v>552</v>
      </c>
      <c r="C42" s="314" t="str">
        <f t="shared" si="32"/>
        <v>熱脫脂 Xà bông 1</v>
      </c>
      <c r="D42" s="314" t="str">
        <f t="shared" si="33"/>
        <v>DC-000A</v>
      </c>
      <c r="E42" s="314" t="str">
        <f t="shared" si="34"/>
        <v>0C</v>
      </c>
      <c r="F42" s="314" t="str">
        <f t="shared" si="35"/>
        <v>45~65ºC
(55±8oC)</v>
      </c>
      <c r="G42" s="777">
        <f t="shared" si="36"/>
        <v>61</v>
      </c>
      <c r="H42" s="777">
        <f t="shared" si="37"/>
        <v>62</v>
      </c>
      <c r="I42" s="777">
        <f t="shared" si="38"/>
        <v>59</v>
      </c>
      <c r="J42" s="777">
        <f t="shared" si="39"/>
        <v>62</v>
      </c>
      <c r="K42" s="777">
        <f t="shared" si="40"/>
        <v>0</v>
      </c>
      <c r="L42" s="777">
        <f t="shared" si="41"/>
        <v>0</v>
      </c>
      <c r="M42" s="777">
        <f t="shared" si="42"/>
        <v>0</v>
      </c>
      <c r="N42" s="777">
        <f t="shared" si="43"/>
        <v>0</v>
      </c>
      <c r="O42" s="777">
        <f t="shared" si="44"/>
        <v>0</v>
      </c>
      <c r="P42" s="777">
        <f t="shared" si="45"/>
        <v>0</v>
      </c>
      <c r="Q42" s="777">
        <f t="shared" si="46"/>
        <v>0</v>
      </c>
      <c r="R42" s="777">
        <f t="shared" si="47"/>
        <v>0</v>
      </c>
      <c r="T42" s="784" t="b">
        <f t="shared" si="48"/>
        <v>1</v>
      </c>
      <c r="U42" s="784" t="b">
        <f t="shared" si="48"/>
        <v>1</v>
      </c>
      <c r="V42" s="784" t="b">
        <f t="shared" si="48"/>
        <v>1</v>
      </c>
      <c r="W42" s="784" t="b">
        <f t="shared" si="48"/>
        <v>1</v>
      </c>
      <c r="X42" s="784" t="b">
        <f t="shared" si="48"/>
        <v>1</v>
      </c>
      <c r="Y42" s="784" t="b">
        <f t="shared" si="48"/>
        <v>1</v>
      </c>
      <c r="Z42" s="784" t="b">
        <f t="shared" si="48"/>
        <v>1</v>
      </c>
      <c r="AA42" s="784" t="b">
        <f t="shared" si="48"/>
        <v>1</v>
      </c>
      <c r="AB42" s="784" t="b">
        <f t="shared" si="48"/>
        <v>1</v>
      </c>
      <c r="AC42" s="784" t="b">
        <f t="shared" si="48"/>
        <v>1</v>
      </c>
      <c r="AD42" s="784" t="b">
        <f t="shared" si="48"/>
        <v>1</v>
      </c>
      <c r="AE42" s="784" t="b">
        <f t="shared" si="48"/>
        <v>1</v>
      </c>
      <c r="AF42" s="801" t="str">
        <f t="shared" si="19"/>
        <v/>
      </c>
      <c r="AG42" s="802" t="str">
        <f t="shared" si="20"/>
        <v/>
      </c>
      <c r="AH42" s="802" t="str">
        <f t="shared" si="21"/>
        <v/>
      </c>
      <c r="AI42" s="802" t="str">
        <f t="shared" si="22"/>
        <v/>
      </c>
      <c r="AJ42" s="802" t="str">
        <f t="shared" si="23"/>
        <v/>
      </c>
      <c r="AK42" s="802" t="str">
        <f t="shared" si="24"/>
        <v/>
      </c>
      <c r="AL42" s="802" t="str">
        <f t="shared" si="25"/>
        <v/>
      </c>
      <c r="AM42" s="802" t="str">
        <f t="shared" si="26"/>
        <v/>
      </c>
      <c r="AN42" s="802" t="str">
        <f t="shared" si="27"/>
        <v/>
      </c>
      <c r="AO42" s="802" t="str">
        <f t="shared" si="28"/>
        <v/>
      </c>
      <c r="AP42" s="802" t="str">
        <f t="shared" si="29"/>
        <v/>
      </c>
      <c r="AQ42" s="803" t="str">
        <f t="shared" si="30"/>
        <v/>
      </c>
    </row>
    <row r="43" spans="1:43">
      <c r="A43" s="794" t="str">
        <f t="shared" si="49"/>
        <v>Ca 1,</v>
      </c>
      <c r="B43" s="314" t="s">
        <v>553</v>
      </c>
      <c r="C43" s="314" t="str">
        <f t="shared" si="32"/>
        <v>熱脫脂Xà bôngg 2</v>
      </c>
      <c r="D43" s="314" t="str">
        <f t="shared" si="33"/>
        <v>DC-000A</v>
      </c>
      <c r="E43" s="314" t="str">
        <f t="shared" si="34"/>
        <v>0C</v>
      </c>
      <c r="F43" s="314" t="str">
        <f t="shared" si="35"/>
        <v>45~65ºC
(55±8oC)</v>
      </c>
      <c r="G43" s="777">
        <f t="shared" si="36"/>
        <v>60</v>
      </c>
      <c r="H43" s="777">
        <f t="shared" si="37"/>
        <v>63</v>
      </c>
      <c r="I43" s="777">
        <f t="shared" si="38"/>
        <v>55</v>
      </c>
      <c r="J43" s="777">
        <f t="shared" si="39"/>
        <v>62</v>
      </c>
      <c r="K43" s="777">
        <f t="shared" si="40"/>
        <v>0</v>
      </c>
      <c r="L43" s="777">
        <f t="shared" si="41"/>
        <v>0</v>
      </c>
      <c r="M43" s="777">
        <f t="shared" si="42"/>
        <v>0</v>
      </c>
      <c r="N43" s="777">
        <f t="shared" si="43"/>
        <v>0</v>
      </c>
      <c r="O43" s="777">
        <f t="shared" si="44"/>
        <v>0</v>
      </c>
      <c r="P43" s="777">
        <f t="shared" si="45"/>
        <v>0</v>
      </c>
      <c r="Q43" s="777">
        <f t="shared" si="46"/>
        <v>0</v>
      </c>
      <c r="R43" s="777">
        <f t="shared" si="47"/>
        <v>0</v>
      </c>
      <c r="T43" s="784" t="b">
        <f t="shared" si="48"/>
        <v>1</v>
      </c>
      <c r="U43" s="784" t="b">
        <f t="shared" si="48"/>
        <v>1</v>
      </c>
      <c r="V43" s="784" t="b">
        <f t="shared" si="48"/>
        <v>1</v>
      </c>
      <c r="W43" s="784" t="b">
        <f t="shared" si="48"/>
        <v>1</v>
      </c>
      <c r="X43" s="784" t="b">
        <f t="shared" si="48"/>
        <v>1</v>
      </c>
      <c r="Y43" s="784" t="b">
        <f t="shared" si="48"/>
        <v>1</v>
      </c>
      <c r="Z43" s="784" t="b">
        <f t="shared" si="48"/>
        <v>1</v>
      </c>
      <c r="AA43" s="784" t="b">
        <f t="shared" si="48"/>
        <v>1</v>
      </c>
      <c r="AB43" s="784" t="b">
        <f t="shared" si="48"/>
        <v>1</v>
      </c>
      <c r="AC43" s="784" t="b">
        <f t="shared" si="48"/>
        <v>1</v>
      </c>
      <c r="AD43" s="784" t="b">
        <f t="shared" si="48"/>
        <v>1</v>
      </c>
      <c r="AE43" s="784" t="b">
        <f t="shared" si="48"/>
        <v>1</v>
      </c>
      <c r="AF43" s="801" t="str">
        <f t="shared" si="19"/>
        <v/>
      </c>
      <c r="AG43" s="802" t="str">
        <f t="shared" si="20"/>
        <v/>
      </c>
      <c r="AH43" s="802" t="str">
        <f t="shared" si="21"/>
        <v/>
      </c>
      <c r="AI43" s="802" t="str">
        <f t="shared" si="22"/>
        <v/>
      </c>
      <c r="AJ43" s="802" t="str">
        <f t="shared" si="23"/>
        <v/>
      </c>
      <c r="AK43" s="802" t="str">
        <f t="shared" si="24"/>
        <v/>
      </c>
      <c r="AL43" s="802" t="str">
        <f t="shared" si="25"/>
        <v/>
      </c>
      <c r="AM43" s="802" t="str">
        <f t="shared" si="26"/>
        <v/>
      </c>
      <c r="AN43" s="802" t="str">
        <f t="shared" si="27"/>
        <v/>
      </c>
      <c r="AO43" s="802" t="str">
        <f t="shared" si="28"/>
        <v/>
      </c>
      <c r="AP43" s="802" t="str">
        <f t="shared" si="29"/>
        <v/>
      </c>
      <c r="AQ43" s="803" t="str">
        <f t="shared" si="30"/>
        <v/>
      </c>
    </row>
    <row r="44" spans="1:43">
      <c r="A44" s="794" t="str">
        <f t="shared" si="49"/>
        <v>Ca 1,</v>
      </c>
      <c r="B44" s="314" t="s">
        <v>554</v>
      </c>
      <c r="C44" s="314" t="str">
        <f t="shared" si="32"/>
        <v>陽極處理槽 dương cực Al3+ (18)</v>
      </c>
      <c r="D44" s="314" t="str">
        <f t="shared" si="33"/>
        <v>DC-000A</v>
      </c>
      <c r="E44" s="314" t="str">
        <f t="shared" si="34"/>
        <v>0C</v>
      </c>
      <c r="F44" s="314" t="str">
        <f t="shared" si="35"/>
        <v>18~25ºC
(22±2oC)</v>
      </c>
      <c r="G44" s="777">
        <f t="shared" si="36"/>
        <v>23</v>
      </c>
      <c r="H44" s="777">
        <f t="shared" si="37"/>
        <v>19</v>
      </c>
      <c r="I44" s="777">
        <f t="shared" si="38"/>
        <v>23</v>
      </c>
      <c r="J44" s="777">
        <f t="shared" si="39"/>
        <v>19</v>
      </c>
      <c r="K44" s="777">
        <f t="shared" si="40"/>
        <v>0</v>
      </c>
      <c r="L44" s="777">
        <f t="shared" si="41"/>
        <v>0</v>
      </c>
      <c r="M44" s="777">
        <f t="shared" si="42"/>
        <v>0</v>
      </c>
      <c r="N44" s="777">
        <f t="shared" si="43"/>
        <v>0</v>
      </c>
      <c r="O44" s="777">
        <f t="shared" si="44"/>
        <v>0</v>
      </c>
      <c r="P44" s="777">
        <f t="shared" si="45"/>
        <v>0</v>
      </c>
      <c r="Q44" s="777">
        <f t="shared" si="46"/>
        <v>0</v>
      </c>
      <c r="R44" s="777">
        <f t="shared" si="47"/>
        <v>0</v>
      </c>
      <c r="T44" s="784" t="b">
        <f t="shared" si="48"/>
        <v>1</v>
      </c>
      <c r="U44" s="784" t="b">
        <f t="shared" si="48"/>
        <v>1</v>
      </c>
      <c r="V44" s="784" t="b">
        <f t="shared" si="48"/>
        <v>1</v>
      </c>
      <c r="W44" s="784" t="b">
        <f t="shared" si="48"/>
        <v>1</v>
      </c>
      <c r="X44" s="784" t="b">
        <f t="shared" si="48"/>
        <v>1</v>
      </c>
      <c r="Y44" s="784" t="b">
        <f t="shared" si="48"/>
        <v>1</v>
      </c>
      <c r="Z44" s="784" t="b">
        <f t="shared" si="48"/>
        <v>1</v>
      </c>
      <c r="AA44" s="784" t="b">
        <f t="shared" si="48"/>
        <v>1</v>
      </c>
      <c r="AB44" s="784" t="b">
        <f t="shared" si="48"/>
        <v>1</v>
      </c>
      <c r="AC44" s="784" t="b">
        <f t="shared" si="48"/>
        <v>1</v>
      </c>
      <c r="AD44" s="784" t="b">
        <f t="shared" si="48"/>
        <v>1</v>
      </c>
      <c r="AE44" s="784" t="b">
        <f t="shared" si="48"/>
        <v>1</v>
      </c>
      <c r="AF44" s="801" t="str">
        <f t="shared" si="19"/>
        <v/>
      </c>
      <c r="AG44" s="802" t="str">
        <f t="shared" si="20"/>
        <v/>
      </c>
      <c r="AH44" s="802" t="str">
        <f t="shared" si="21"/>
        <v/>
      </c>
      <c r="AI44" s="802" t="str">
        <f t="shared" si="22"/>
        <v/>
      </c>
      <c r="AJ44" s="802" t="str">
        <f t="shared" si="23"/>
        <v/>
      </c>
      <c r="AK44" s="802" t="str">
        <f t="shared" si="24"/>
        <v/>
      </c>
      <c r="AL44" s="802" t="str">
        <f t="shared" si="25"/>
        <v/>
      </c>
      <c r="AM44" s="802" t="str">
        <f t="shared" si="26"/>
        <v/>
      </c>
      <c r="AN44" s="802" t="str">
        <f t="shared" si="27"/>
        <v/>
      </c>
      <c r="AO44" s="802" t="str">
        <f t="shared" si="28"/>
        <v/>
      </c>
      <c r="AP44" s="802" t="str">
        <f t="shared" si="29"/>
        <v/>
      </c>
      <c r="AQ44" s="803" t="str">
        <f t="shared" si="30"/>
        <v/>
      </c>
    </row>
    <row r="45" spans="1:43">
      <c r="A45" s="794" t="str">
        <f t="shared" si="49"/>
        <v>Ca 1,</v>
      </c>
      <c r="B45" s="314" t="s">
        <v>555</v>
      </c>
      <c r="C45" s="314" t="str">
        <f t="shared" si="32"/>
        <v>陽極處理槽 dương cực Al3+ (19)</v>
      </c>
      <c r="D45" s="314" t="str">
        <f t="shared" si="33"/>
        <v>DC-000A</v>
      </c>
      <c r="E45" s="314" t="str">
        <f t="shared" si="34"/>
        <v>0C</v>
      </c>
      <c r="F45" s="314" t="str">
        <f t="shared" si="35"/>
        <v>18~25ºC
(22±2oC)</v>
      </c>
      <c r="G45" s="777">
        <f t="shared" si="36"/>
        <v>23</v>
      </c>
      <c r="H45" s="777">
        <f t="shared" si="37"/>
        <v>19</v>
      </c>
      <c r="I45" s="777">
        <f t="shared" si="38"/>
        <v>23</v>
      </c>
      <c r="J45" s="777">
        <f t="shared" si="39"/>
        <v>18</v>
      </c>
      <c r="K45" s="777">
        <f t="shared" si="40"/>
        <v>0</v>
      </c>
      <c r="L45" s="777">
        <f t="shared" si="41"/>
        <v>0</v>
      </c>
      <c r="M45" s="777">
        <f t="shared" si="42"/>
        <v>0</v>
      </c>
      <c r="N45" s="777">
        <f t="shared" si="43"/>
        <v>0</v>
      </c>
      <c r="O45" s="777">
        <f t="shared" si="44"/>
        <v>0</v>
      </c>
      <c r="P45" s="777">
        <f t="shared" si="45"/>
        <v>0</v>
      </c>
      <c r="Q45" s="777">
        <f t="shared" si="46"/>
        <v>0</v>
      </c>
      <c r="R45" s="777">
        <f t="shared" si="47"/>
        <v>0</v>
      </c>
      <c r="T45" s="784" t="b">
        <f t="shared" si="48"/>
        <v>1</v>
      </c>
      <c r="U45" s="784" t="b">
        <f t="shared" si="48"/>
        <v>1</v>
      </c>
      <c r="V45" s="784" t="b">
        <f t="shared" si="48"/>
        <v>1</v>
      </c>
      <c r="W45" s="784" t="b">
        <f t="shared" si="48"/>
        <v>1</v>
      </c>
      <c r="X45" s="784" t="b">
        <f t="shared" si="48"/>
        <v>1</v>
      </c>
      <c r="Y45" s="784" t="b">
        <f t="shared" si="48"/>
        <v>1</v>
      </c>
      <c r="Z45" s="784" t="b">
        <f t="shared" si="48"/>
        <v>1</v>
      </c>
      <c r="AA45" s="784" t="b">
        <f t="shared" si="48"/>
        <v>1</v>
      </c>
      <c r="AB45" s="784" t="b">
        <f t="shared" si="48"/>
        <v>1</v>
      </c>
      <c r="AC45" s="784" t="b">
        <f t="shared" si="48"/>
        <v>1</v>
      </c>
      <c r="AD45" s="784" t="b">
        <f t="shared" si="48"/>
        <v>1</v>
      </c>
      <c r="AE45" s="784" t="b">
        <f t="shared" si="48"/>
        <v>1</v>
      </c>
      <c r="AF45" s="801" t="str">
        <f t="shared" si="19"/>
        <v/>
      </c>
      <c r="AG45" s="802" t="str">
        <f t="shared" si="20"/>
        <v/>
      </c>
      <c r="AH45" s="802" t="str">
        <f t="shared" si="21"/>
        <v/>
      </c>
      <c r="AI45" s="802" t="str">
        <f t="shared" si="22"/>
        <v/>
      </c>
      <c r="AJ45" s="802" t="str">
        <f t="shared" si="23"/>
        <v/>
      </c>
      <c r="AK45" s="802" t="str">
        <f t="shared" si="24"/>
        <v/>
      </c>
      <c r="AL45" s="802" t="str">
        <f t="shared" si="25"/>
        <v/>
      </c>
      <c r="AM45" s="802" t="str">
        <f t="shared" si="26"/>
        <v/>
      </c>
      <c r="AN45" s="802" t="str">
        <f t="shared" si="27"/>
        <v/>
      </c>
      <c r="AO45" s="802" t="str">
        <f t="shared" si="28"/>
        <v/>
      </c>
      <c r="AP45" s="802" t="str">
        <f t="shared" si="29"/>
        <v/>
      </c>
      <c r="AQ45" s="803" t="str">
        <f t="shared" si="30"/>
        <v/>
      </c>
    </row>
    <row r="46" spans="1:43">
      <c r="A46" s="794" t="str">
        <f t="shared" si="49"/>
        <v>Ca 1,</v>
      </c>
      <c r="B46" s="314" t="s">
        <v>556</v>
      </c>
      <c r="C46" s="314" t="str">
        <f t="shared" si="32"/>
        <v>陽極處理槽 dương cực Al3+ (20)</v>
      </c>
      <c r="D46" s="314" t="str">
        <f t="shared" si="33"/>
        <v>DC-000A</v>
      </c>
      <c r="E46" s="314" t="str">
        <f t="shared" si="34"/>
        <v>0C</v>
      </c>
      <c r="F46" s="314" t="str">
        <f t="shared" si="35"/>
        <v>18~25ºC
(22±2oC)</v>
      </c>
      <c r="G46" s="777">
        <f t="shared" si="36"/>
        <v>22</v>
      </c>
      <c r="H46" s="777">
        <f t="shared" si="37"/>
        <v>18</v>
      </c>
      <c r="I46" s="777">
        <f t="shared" si="38"/>
        <v>22</v>
      </c>
      <c r="J46" s="777">
        <f t="shared" si="39"/>
        <v>18</v>
      </c>
      <c r="K46" s="777">
        <f t="shared" si="40"/>
        <v>0</v>
      </c>
      <c r="L46" s="777">
        <f t="shared" si="41"/>
        <v>0</v>
      </c>
      <c r="M46" s="777">
        <f t="shared" si="42"/>
        <v>0</v>
      </c>
      <c r="N46" s="777">
        <f t="shared" si="43"/>
        <v>0</v>
      </c>
      <c r="O46" s="777">
        <f t="shared" si="44"/>
        <v>0</v>
      </c>
      <c r="P46" s="777">
        <f t="shared" si="45"/>
        <v>0</v>
      </c>
      <c r="Q46" s="777">
        <f t="shared" si="46"/>
        <v>0</v>
      </c>
      <c r="R46" s="777">
        <f t="shared" si="47"/>
        <v>0</v>
      </c>
      <c r="T46" s="784" t="b">
        <f t="shared" si="48"/>
        <v>1</v>
      </c>
      <c r="U46" s="784" t="b">
        <f t="shared" si="48"/>
        <v>1</v>
      </c>
      <c r="V46" s="784" t="b">
        <f t="shared" si="48"/>
        <v>1</v>
      </c>
      <c r="W46" s="784" t="b">
        <f t="shared" si="48"/>
        <v>1</v>
      </c>
      <c r="X46" s="784" t="b">
        <f t="shared" si="48"/>
        <v>1</v>
      </c>
      <c r="Y46" s="784" t="b">
        <f t="shared" si="48"/>
        <v>1</v>
      </c>
      <c r="Z46" s="784" t="b">
        <f t="shared" si="48"/>
        <v>1</v>
      </c>
      <c r="AA46" s="784" t="b">
        <f t="shared" si="48"/>
        <v>1</v>
      </c>
      <c r="AB46" s="784" t="b">
        <f t="shared" si="48"/>
        <v>1</v>
      </c>
      <c r="AC46" s="784" t="b">
        <f t="shared" si="48"/>
        <v>1</v>
      </c>
      <c r="AD46" s="784" t="b">
        <f t="shared" si="48"/>
        <v>1</v>
      </c>
      <c r="AE46" s="784" t="b">
        <f t="shared" si="48"/>
        <v>1</v>
      </c>
      <c r="AF46" s="801" t="str">
        <f t="shared" si="19"/>
        <v/>
      </c>
      <c r="AG46" s="802" t="str">
        <f t="shared" si="20"/>
        <v/>
      </c>
      <c r="AH46" s="802" t="str">
        <f t="shared" si="21"/>
        <v/>
      </c>
      <c r="AI46" s="802" t="str">
        <f t="shared" si="22"/>
        <v/>
      </c>
      <c r="AJ46" s="802" t="str">
        <f t="shared" si="23"/>
        <v/>
      </c>
      <c r="AK46" s="802" t="str">
        <f t="shared" si="24"/>
        <v/>
      </c>
      <c r="AL46" s="802" t="str">
        <f t="shared" si="25"/>
        <v/>
      </c>
      <c r="AM46" s="802" t="str">
        <f t="shared" si="26"/>
        <v/>
      </c>
      <c r="AN46" s="802" t="str">
        <f t="shared" si="27"/>
        <v/>
      </c>
      <c r="AO46" s="802" t="str">
        <f t="shared" si="28"/>
        <v/>
      </c>
      <c r="AP46" s="802" t="str">
        <f t="shared" si="29"/>
        <v/>
      </c>
      <c r="AQ46" s="803" t="str">
        <f t="shared" si="30"/>
        <v/>
      </c>
    </row>
    <row r="47" spans="1:43">
      <c r="A47" s="794" t="str">
        <f t="shared" si="49"/>
        <v>Ca 1,</v>
      </c>
      <c r="B47" s="314" t="s">
        <v>557</v>
      </c>
      <c r="C47" s="314" t="str">
        <f t="shared" si="32"/>
        <v>封孔 Đóng lỗ  (HK-101A1)</v>
      </c>
      <c r="D47" s="314" t="str">
        <f t="shared" si="33"/>
        <v>DC-000A</v>
      </c>
      <c r="E47" s="314" t="str">
        <f t="shared" si="34"/>
        <v>0C</v>
      </c>
      <c r="F47" s="314" t="str">
        <f t="shared" si="35"/>
        <v>45~60ºC
(50±2oC)</v>
      </c>
      <c r="G47" s="777">
        <f t="shared" si="36"/>
        <v>30</v>
      </c>
      <c r="H47" s="777">
        <f t="shared" si="37"/>
        <v>29</v>
      </c>
      <c r="I47" s="777">
        <f t="shared" si="38"/>
        <v>30</v>
      </c>
      <c r="J47" s="777">
        <f t="shared" si="39"/>
        <v>29</v>
      </c>
      <c r="K47" s="777">
        <f t="shared" si="40"/>
        <v>0</v>
      </c>
      <c r="L47" s="777">
        <f t="shared" si="41"/>
        <v>0</v>
      </c>
      <c r="M47" s="777">
        <f t="shared" si="42"/>
        <v>0</v>
      </c>
      <c r="N47" s="777">
        <f t="shared" si="43"/>
        <v>0</v>
      </c>
      <c r="O47" s="777">
        <f t="shared" si="44"/>
        <v>0</v>
      </c>
      <c r="P47" s="777">
        <f t="shared" si="45"/>
        <v>0</v>
      </c>
      <c r="Q47" s="777">
        <f t="shared" si="46"/>
        <v>0</v>
      </c>
      <c r="R47" s="777">
        <f t="shared" si="47"/>
        <v>0</v>
      </c>
      <c r="T47" s="784" t="b">
        <f t="shared" si="48"/>
        <v>1</v>
      </c>
      <c r="U47" s="784" t="b">
        <f t="shared" si="48"/>
        <v>1</v>
      </c>
      <c r="V47" s="784" t="b">
        <f t="shared" si="48"/>
        <v>1</v>
      </c>
      <c r="W47" s="784" t="b">
        <f t="shared" si="48"/>
        <v>1</v>
      </c>
      <c r="X47" s="784" t="b">
        <f t="shared" si="48"/>
        <v>1</v>
      </c>
      <c r="Y47" s="784" t="b">
        <f t="shared" si="48"/>
        <v>1</v>
      </c>
      <c r="Z47" s="784" t="b">
        <f t="shared" si="48"/>
        <v>1</v>
      </c>
      <c r="AA47" s="784" t="b">
        <f t="shared" si="48"/>
        <v>1</v>
      </c>
      <c r="AB47" s="784" t="b">
        <f t="shared" si="48"/>
        <v>1</v>
      </c>
      <c r="AC47" s="784" t="b">
        <f t="shared" si="48"/>
        <v>1</v>
      </c>
      <c r="AD47" s="784" t="b">
        <f t="shared" si="48"/>
        <v>1</v>
      </c>
      <c r="AE47" s="784" t="b">
        <f t="shared" si="48"/>
        <v>1</v>
      </c>
      <c r="AF47" s="801" t="str">
        <f t="shared" si="19"/>
        <v/>
      </c>
      <c r="AG47" s="802" t="str">
        <f t="shared" si="20"/>
        <v/>
      </c>
      <c r="AH47" s="802" t="str">
        <f t="shared" si="21"/>
        <v/>
      </c>
      <c r="AI47" s="802" t="str">
        <f t="shared" si="22"/>
        <v/>
      </c>
      <c r="AJ47" s="802" t="str">
        <f t="shared" si="23"/>
        <v/>
      </c>
      <c r="AK47" s="802" t="str">
        <f t="shared" si="24"/>
        <v/>
      </c>
      <c r="AL47" s="802" t="str">
        <f t="shared" si="25"/>
        <v/>
      </c>
      <c r="AM47" s="802" t="str">
        <f t="shared" si="26"/>
        <v/>
      </c>
      <c r="AN47" s="802" t="str">
        <f t="shared" si="27"/>
        <v/>
      </c>
      <c r="AO47" s="802" t="str">
        <f t="shared" si="28"/>
        <v/>
      </c>
      <c r="AP47" s="802" t="str">
        <f t="shared" si="29"/>
        <v/>
      </c>
      <c r="AQ47" s="803" t="str">
        <f t="shared" si="30"/>
        <v/>
      </c>
    </row>
    <row r="48" spans="1:43">
      <c r="A48" s="794" t="str">
        <f t="shared" si="49"/>
        <v>Ca 1,</v>
      </c>
      <c r="B48" s="314" t="s">
        <v>559</v>
      </c>
      <c r="C48" s="314" t="str">
        <f t="shared" si="32"/>
        <v xml:space="preserve"> 染色Màu - Black-05</v>
      </c>
      <c r="D48" s="314" t="str">
        <f t="shared" si="33"/>
        <v>DC-000A</v>
      </c>
      <c r="E48" s="314" t="str">
        <f t="shared" si="34"/>
        <v>0C</v>
      </c>
      <c r="F48" s="314" t="str">
        <f t="shared" si="35"/>
        <v>55~65ºC
(55±3oC)</v>
      </c>
      <c r="G48" s="777">
        <f t="shared" si="36"/>
        <v>0</v>
      </c>
      <c r="H48" s="777">
        <f t="shared" si="37"/>
        <v>0</v>
      </c>
      <c r="I48" s="777">
        <f t="shared" si="38"/>
        <v>0</v>
      </c>
      <c r="J48" s="777">
        <f t="shared" si="39"/>
        <v>0</v>
      </c>
      <c r="K48" s="777">
        <f t="shared" si="40"/>
        <v>0</v>
      </c>
      <c r="L48" s="777">
        <f t="shared" si="41"/>
        <v>0</v>
      </c>
      <c r="M48" s="777">
        <f t="shared" si="42"/>
        <v>0</v>
      </c>
      <c r="N48" s="777">
        <f t="shared" si="43"/>
        <v>0</v>
      </c>
      <c r="O48" s="777">
        <f t="shared" si="44"/>
        <v>0</v>
      </c>
      <c r="P48" s="777">
        <f t="shared" si="45"/>
        <v>0</v>
      </c>
      <c r="Q48" s="777">
        <f t="shared" si="46"/>
        <v>0</v>
      </c>
      <c r="R48" s="777">
        <f t="shared" si="47"/>
        <v>0</v>
      </c>
      <c r="T48" s="784" t="b">
        <f t="shared" si="48"/>
        <v>1</v>
      </c>
      <c r="U48" s="784" t="b">
        <f t="shared" si="48"/>
        <v>1</v>
      </c>
      <c r="V48" s="784" t="b">
        <f t="shared" si="48"/>
        <v>1</v>
      </c>
      <c r="W48" s="784" t="b">
        <f t="shared" si="48"/>
        <v>1</v>
      </c>
      <c r="X48" s="784" t="b">
        <f t="shared" si="48"/>
        <v>1</v>
      </c>
      <c r="Y48" s="784" t="b">
        <f t="shared" si="48"/>
        <v>1</v>
      </c>
      <c r="Z48" s="784" t="b">
        <f t="shared" si="48"/>
        <v>1</v>
      </c>
      <c r="AA48" s="784" t="b">
        <f t="shared" si="48"/>
        <v>1</v>
      </c>
      <c r="AB48" s="784" t="b">
        <f t="shared" si="48"/>
        <v>1</v>
      </c>
      <c r="AC48" s="784" t="b">
        <f t="shared" si="48"/>
        <v>1</v>
      </c>
      <c r="AD48" s="784" t="b">
        <f t="shared" si="48"/>
        <v>1</v>
      </c>
      <c r="AE48" s="784" t="b">
        <f t="shared" si="48"/>
        <v>1</v>
      </c>
      <c r="AF48" s="801" t="str">
        <f t="shared" si="19"/>
        <v/>
      </c>
      <c r="AG48" s="802" t="str">
        <f t="shared" si="20"/>
        <v/>
      </c>
      <c r="AH48" s="802" t="str">
        <f t="shared" si="21"/>
        <v/>
      </c>
      <c r="AI48" s="802" t="str">
        <f t="shared" si="22"/>
        <v/>
      </c>
      <c r="AJ48" s="802" t="str">
        <f t="shared" si="23"/>
        <v/>
      </c>
      <c r="AK48" s="802" t="str">
        <f t="shared" si="24"/>
        <v/>
      </c>
      <c r="AL48" s="802" t="str">
        <f t="shared" si="25"/>
        <v/>
      </c>
      <c r="AM48" s="802" t="str">
        <f t="shared" si="26"/>
        <v/>
      </c>
      <c r="AN48" s="802" t="str">
        <f t="shared" si="27"/>
        <v/>
      </c>
      <c r="AO48" s="802" t="str">
        <f t="shared" si="28"/>
        <v/>
      </c>
      <c r="AP48" s="802" t="str">
        <f t="shared" si="29"/>
        <v/>
      </c>
      <c r="AQ48" s="803" t="str">
        <f t="shared" si="30"/>
        <v/>
      </c>
    </row>
    <row r="49" spans="1:43">
      <c r="A49" s="794" t="str">
        <f t="shared" si="49"/>
        <v>Ca 1,</v>
      </c>
      <c r="B49" s="314" t="s">
        <v>560</v>
      </c>
      <c r="C49" s="314" t="str">
        <f t="shared" si="32"/>
        <v xml:space="preserve"> 染色Màu- Gey-07</v>
      </c>
      <c r="D49" s="314" t="str">
        <f t="shared" si="33"/>
        <v>DC-000A</v>
      </c>
      <c r="E49" s="314" t="str">
        <f t="shared" si="34"/>
        <v>0C</v>
      </c>
      <c r="F49" s="314" t="str">
        <f t="shared" si="35"/>
        <v>42~47ºC
(44±2oC)</v>
      </c>
      <c r="G49" s="777">
        <f t="shared" si="36"/>
        <v>0</v>
      </c>
      <c r="H49" s="777">
        <f t="shared" si="37"/>
        <v>0</v>
      </c>
      <c r="I49" s="777">
        <f t="shared" si="38"/>
        <v>0</v>
      </c>
      <c r="J49" s="777">
        <f t="shared" si="39"/>
        <v>0</v>
      </c>
      <c r="K49" s="777">
        <f t="shared" si="40"/>
        <v>0</v>
      </c>
      <c r="L49" s="777">
        <f t="shared" si="41"/>
        <v>0</v>
      </c>
      <c r="M49" s="777">
        <f t="shared" si="42"/>
        <v>0</v>
      </c>
      <c r="N49" s="777">
        <f t="shared" si="43"/>
        <v>0</v>
      </c>
      <c r="O49" s="777">
        <f t="shared" si="44"/>
        <v>0</v>
      </c>
      <c r="P49" s="777">
        <f t="shared" si="45"/>
        <v>0</v>
      </c>
      <c r="Q49" s="777">
        <f t="shared" si="46"/>
        <v>0</v>
      </c>
      <c r="R49" s="777">
        <f t="shared" si="47"/>
        <v>0</v>
      </c>
      <c r="T49" s="784" t="b">
        <f t="shared" si="48"/>
        <v>1</v>
      </c>
      <c r="U49" s="784" t="b">
        <f t="shared" si="48"/>
        <v>1</v>
      </c>
      <c r="V49" s="784" t="b">
        <f t="shared" si="48"/>
        <v>1</v>
      </c>
      <c r="W49" s="784" t="b">
        <f t="shared" si="48"/>
        <v>1</v>
      </c>
      <c r="X49" s="784" t="b">
        <f t="shared" si="48"/>
        <v>1</v>
      </c>
      <c r="Y49" s="784" t="b">
        <f t="shared" si="48"/>
        <v>1</v>
      </c>
      <c r="Z49" s="784" t="b">
        <f t="shared" si="48"/>
        <v>1</v>
      </c>
      <c r="AA49" s="784" t="b">
        <f t="shared" si="48"/>
        <v>1</v>
      </c>
      <c r="AB49" s="784" t="b">
        <f t="shared" si="48"/>
        <v>1</v>
      </c>
      <c r="AC49" s="784" t="b">
        <f t="shared" si="48"/>
        <v>1</v>
      </c>
      <c r="AD49" s="784" t="b">
        <f t="shared" si="48"/>
        <v>1</v>
      </c>
      <c r="AE49" s="784" t="b">
        <f t="shared" si="48"/>
        <v>1</v>
      </c>
      <c r="AF49" s="801" t="str">
        <f t="shared" si="19"/>
        <v/>
      </c>
      <c r="AG49" s="802" t="str">
        <f t="shared" si="20"/>
        <v/>
      </c>
      <c r="AH49" s="802" t="str">
        <f t="shared" si="21"/>
        <v/>
      </c>
      <c r="AI49" s="802" t="str">
        <f t="shared" si="22"/>
        <v/>
      </c>
      <c r="AJ49" s="802" t="str">
        <f t="shared" si="23"/>
        <v/>
      </c>
      <c r="AK49" s="802" t="str">
        <f t="shared" si="24"/>
        <v/>
      </c>
      <c r="AL49" s="802" t="str">
        <f t="shared" si="25"/>
        <v/>
      </c>
      <c r="AM49" s="802" t="str">
        <f t="shared" si="26"/>
        <v/>
      </c>
      <c r="AN49" s="802" t="str">
        <f t="shared" si="27"/>
        <v/>
      </c>
      <c r="AO49" s="802" t="str">
        <f t="shared" si="28"/>
        <v/>
      </c>
      <c r="AP49" s="802" t="str">
        <f t="shared" si="29"/>
        <v/>
      </c>
      <c r="AQ49" s="803" t="str">
        <f t="shared" si="30"/>
        <v/>
      </c>
    </row>
    <row r="50" spans="1:43">
      <c r="A50" s="794" t="str">
        <f t="shared" si="49"/>
        <v>Ca 1,</v>
      </c>
      <c r="B50" s="314" t="s">
        <v>561</v>
      </c>
      <c r="C50" s="314" t="str">
        <f t="shared" si="32"/>
        <v xml:space="preserve"> 染色Màu- Black-08</v>
      </c>
      <c r="D50" s="314" t="str">
        <f t="shared" si="33"/>
        <v>DC-000A</v>
      </c>
      <c r="E50" s="314" t="str">
        <f t="shared" si="34"/>
        <v>0C</v>
      </c>
      <c r="F50" s="314" t="str">
        <f t="shared" si="35"/>
        <v>55~65ºC
(55±3oC)</v>
      </c>
      <c r="G50" s="777">
        <f t="shared" si="36"/>
        <v>65</v>
      </c>
      <c r="H50" s="777">
        <f t="shared" si="37"/>
        <v>61</v>
      </c>
      <c r="I50" s="777">
        <f t="shared" si="38"/>
        <v>64</v>
      </c>
      <c r="J50" s="777">
        <f t="shared" si="39"/>
        <v>61</v>
      </c>
      <c r="K50" s="777">
        <f t="shared" si="40"/>
        <v>0</v>
      </c>
      <c r="L50" s="777">
        <f t="shared" si="41"/>
        <v>0</v>
      </c>
      <c r="M50" s="777">
        <f t="shared" si="42"/>
        <v>0</v>
      </c>
      <c r="N50" s="777">
        <f t="shared" si="43"/>
        <v>0</v>
      </c>
      <c r="O50" s="777">
        <f t="shared" si="44"/>
        <v>0</v>
      </c>
      <c r="P50" s="777">
        <f t="shared" si="45"/>
        <v>0</v>
      </c>
      <c r="Q50" s="777">
        <f t="shared" si="46"/>
        <v>0</v>
      </c>
      <c r="R50" s="777">
        <f t="shared" si="47"/>
        <v>0</v>
      </c>
      <c r="T50" s="784" t="b">
        <f t="shared" si="48"/>
        <v>1</v>
      </c>
      <c r="U50" s="784" t="b">
        <f t="shared" si="48"/>
        <v>1</v>
      </c>
      <c r="V50" s="784" t="b">
        <f t="shared" si="48"/>
        <v>1</v>
      </c>
      <c r="W50" s="784" t="b">
        <f t="shared" si="48"/>
        <v>1</v>
      </c>
      <c r="X50" s="784" t="b">
        <f t="shared" si="48"/>
        <v>1</v>
      </c>
      <c r="Y50" s="784" t="b">
        <f t="shared" si="48"/>
        <v>1</v>
      </c>
      <c r="Z50" s="784" t="b">
        <f t="shared" si="48"/>
        <v>1</v>
      </c>
      <c r="AA50" s="784" t="b">
        <f t="shared" si="48"/>
        <v>1</v>
      </c>
      <c r="AB50" s="784" t="b">
        <f t="shared" si="48"/>
        <v>1</v>
      </c>
      <c r="AC50" s="784" t="b">
        <f t="shared" si="48"/>
        <v>1</v>
      </c>
      <c r="AD50" s="784" t="b">
        <f t="shared" si="48"/>
        <v>1</v>
      </c>
      <c r="AE50" s="784" t="b">
        <f t="shared" si="48"/>
        <v>1</v>
      </c>
      <c r="AF50" s="801" t="str">
        <f t="shared" si="19"/>
        <v/>
      </c>
      <c r="AG50" s="802" t="str">
        <f t="shared" si="20"/>
        <v/>
      </c>
      <c r="AH50" s="802" t="str">
        <f t="shared" si="21"/>
        <v/>
      </c>
      <c r="AI50" s="802" t="str">
        <f t="shared" si="22"/>
        <v/>
      </c>
      <c r="AJ50" s="802" t="str">
        <f t="shared" si="23"/>
        <v/>
      </c>
      <c r="AK50" s="802" t="str">
        <f t="shared" si="24"/>
        <v/>
      </c>
      <c r="AL50" s="802" t="str">
        <f t="shared" si="25"/>
        <v/>
      </c>
      <c r="AM50" s="802" t="str">
        <f t="shared" si="26"/>
        <v/>
      </c>
      <c r="AN50" s="802" t="str">
        <f t="shared" si="27"/>
        <v/>
      </c>
      <c r="AO50" s="802" t="str">
        <f t="shared" si="28"/>
        <v/>
      </c>
      <c r="AP50" s="802" t="str">
        <f t="shared" si="29"/>
        <v/>
      </c>
      <c r="AQ50" s="803" t="str">
        <f t="shared" si="30"/>
        <v/>
      </c>
    </row>
    <row r="51" spans="1:43">
      <c r="A51" s="794" t="str">
        <f t="shared" si="49"/>
        <v>Ca 1,</v>
      </c>
      <c r="B51" s="314" t="s">
        <v>562</v>
      </c>
      <c r="C51" s="314" t="str">
        <f t="shared" si="32"/>
        <v>烘乾 Sấy khô</v>
      </c>
      <c r="D51" s="314" t="str">
        <f t="shared" si="33"/>
        <v>DC-000A</v>
      </c>
      <c r="E51" s="314" t="str">
        <f t="shared" si="34"/>
        <v>0C</v>
      </c>
      <c r="F51" s="314" t="str">
        <f t="shared" si="35"/>
        <v>100~110ºC
(100±5oC)</v>
      </c>
      <c r="G51" s="777" t="str">
        <f t="shared" si="36"/>
        <v>\</v>
      </c>
      <c r="H51" s="777">
        <f t="shared" si="37"/>
        <v>104</v>
      </c>
      <c r="I51" s="777" t="str">
        <f t="shared" si="38"/>
        <v>\</v>
      </c>
      <c r="J51" s="777">
        <f t="shared" si="39"/>
        <v>114</v>
      </c>
      <c r="K51" s="777">
        <f t="shared" si="40"/>
        <v>0</v>
      </c>
      <c r="L51" s="777">
        <f t="shared" si="41"/>
        <v>0</v>
      </c>
      <c r="M51" s="777">
        <f t="shared" si="42"/>
        <v>0</v>
      </c>
      <c r="N51" s="777">
        <f t="shared" si="43"/>
        <v>0</v>
      </c>
      <c r="O51" s="777">
        <f t="shared" si="44"/>
        <v>0</v>
      </c>
      <c r="P51" s="777">
        <f t="shared" si="45"/>
        <v>0</v>
      </c>
      <c r="Q51" s="777">
        <f t="shared" si="46"/>
        <v>0</v>
      </c>
      <c r="R51" s="777">
        <f t="shared" si="47"/>
        <v>0</v>
      </c>
      <c r="T51" s="784" t="b">
        <f t="shared" si="48"/>
        <v>0</v>
      </c>
      <c r="U51" s="784" t="b">
        <f t="shared" si="48"/>
        <v>1</v>
      </c>
      <c r="V51" s="784" t="b">
        <f t="shared" si="48"/>
        <v>0</v>
      </c>
      <c r="W51" s="784" t="b">
        <f t="shared" si="48"/>
        <v>1</v>
      </c>
      <c r="X51" s="784" t="b">
        <f t="shared" si="48"/>
        <v>1</v>
      </c>
      <c r="Y51" s="784" t="b">
        <f t="shared" si="48"/>
        <v>1</v>
      </c>
      <c r="Z51" s="784" t="b">
        <f t="shared" si="48"/>
        <v>1</v>
      </c>
      <c r="AA51" s="784" t="b">
        <f t="shared" si="48"/>
        <v>1</v>
      </c>
      <c r="AB51" s="784" t="b">
        <f t="shared" si="48"/>
        <v>1</v>
      </c>
      <c r="AC51" s="784" t="b">
        <f t="shared" si="48"/>
        <v>1</v>
      </c>
      <c r="AD51" s="784" t="b">
        <f t="shared" si="48"/>
        <v>1</v>
      </c>
      <c r="AE51" s="784" t="b">
        <f t="shared" si="48"/>
        <v>1</v>
      </c>
      <c r="AF51" s="804">
        <f t="shared" si="19"/>
        <v>1</v>
      </c>
      <c r="AG51" s="805" t="str">
        <f t="shared" si="20"/>
        <v/>
      </c>
      <c r="AH51" s="805">
        <f t="shared" si="21"/>
        <v>1</v>
      </c>
      <c r="AI51" s="805" t="str">
        <f t="shared" si="22"/>
        <v/>
      </c>
      <c r="AJ51" s="805" t="str">
        <f t="shared" si="23"/>
        <v/>
      </c>
      <c r="AK51" s="805" t="str">
        <f t="shared" si="24"/>
        <v/>
      </c>
      <c r="AL51" s="805" t="str">
        <f t="shared" si="25"/>
        <v/>
      </c>
      <c r="AM51" s="805" t="str">
        <f t="shared" si="26"/>
        <v/>
      </c>
      <c r="AN51" s="805" t="str">
        <f t="shared" si="27"/>
        <v/>
      </c>
      <c r="AO51" s="805" t="str">
        <f t="shared" si="28"/>
        <v/>
      </c>
      <c r="AP51" s="805" t="str">
        <f t="shared" si="29"/>
        <v/>
      </c>
      <c r="AQ51" s="806" t="str">
        <f t="shared" si="30"/>
        <v/>
      </c>
    </row>
  </sheetData>
  <phoneticPr fontId="7" type="noConversion"/>
  <pageMargins left="0.7" right="0.7" top="0.75" bottom="0.75"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sheetPr>
    <tabColor rgb="FF99FF66"/>
  </sheetPr>
  <dimension ref="A1:BO83"/>
  <sheetViews>
    <sheetView zoomScale="55" zoomScaleNormal="55" zoomScaleSheetLayoutView="55" workbookViewId="0">
      <pane ySplit="1" topLeftCell="A2" activePane="bottomLeft" state="frozen"/>
      <selection pane="bottomLeft" activeCell="O18" sqref="O18:O22"/>
    </sheetView>
  </sheetViews>
  <sheetFormatPr defaultRowHeight="16.5"/>
  <cols>
    <col min="1" max="1" width="3.875" style="979" customWidth="1"/>
    <col min="2" max="2" width="9.125" style="980" customWidth="1"/>
    <col min="3" max="4" width="6" style="980" customWidth="1"/>
    <col min="5" max="5" width="5.75" style="980" customWidth="1"/>
    <col min="6" max="6" width="7.5" style="981" customWidth="1"/>
    <col min="7" max="7" width="10.875" style="981" customWidth="1"/>
    <col min="8" max="8" width="8.875" style="981" customWidth="1"/>
    <col min="9" max="9" width="8.375" style="981" customWidth="1"/>
    <col min="10" max="10" width="2.625" style="981" customWidth="1"/>
    <col min="11" max="11" width="8" style="981" customWidth="1"/>
    <col min="12" max="12" width="4" style="981" customWidth="1"/>
    <col min="13" max="13" width="8" style="944" customWidth="1"/>
    <col min="14" max="14" width="2.75" style="944" customWidth="1"/>
    <col min="15" max="15" width="8.75" style="944" customWidth="1"/>
    <col min="16" max="16" width="4" style="944" customWidth="1"/>
    <col min="17" max="17" width="8.25" style="981" customWidth="1"/>
    <col min="18" max="18" width="2.375" style="981" customWidth="1"/>
    <col min="19" max="19" width="8.25" style="981" customWidth="1"/>
    <col min="20" max="20" width="4.25" style="981" customWidth="1"/>
    <col min="21" max="21" width="7.625" style="944" customWidth="1"/>
    <col min="22" max="22" width="4" style="944" customWidth="1"/>
    <col min="23" max="23" width="7.875" style="944" customWidth="1"/>
    <col min="24" max="24" width="3.75" style="944" customWidth="1"/>
    <col min="25" max="25" width="7.5" style="981" customWidth="1"/>
    <col min="26" max="26" width="4.25" style="981" customWidth="1"/>
    <col min="27" max="27" width="7.625" style="981" customWidth="1"/>
    <col min="28" max="28" width="4.875" style="981" customWidth="1"/>
    <col min="29" max="29" width="7.5" style="944" customWidth="1"/>
    <col min="30" max="30" width="3.75" style="944" customWidth="1"/>
    <col min="31" max="31" width="7.5" style="944" customWidth="1"/>
    <col min="32" max="32" width="4.25" style="944" customWidth="1"/>
    <col min="33" max="33" width="7.625" style="8" customWidth="1"/>
    <col min="34" max="34" width="3.375" style="8" customWidth="1"/>
    <col min="35" max="35" width="3.875" style="979" customWidth="1"/>
    <col min="36" max="36" width="8" style="980" customWidth="1"/>
    <col min="37" max="37" width="3.5" style="980" customWidth="1"/>
    <col min="38" max="38" width="6" style="980" customWidth="1"/>
    <col min="39" max="39" width="5.5" style="980" customWidth="1"/>
    <col min="40" max="40" width="7.5" style="981" customWidth="1"/>
    <col min="41" max="41" width="12.5" style="981" customWidth="1"/>
    <col min="42" max="42" width="9.75" style="981" customWidth="1"/>
    <col min="43" max="43" width="8.375" style="981" customWidth="1"/>
    <col min="44" max="44" width="2.625" style="981" customWidth="1"/>
    <col min="45" max="45" width="8" style="981" customWidth="1"/>
    <col min="46" max="46" width="4" style="981" customWidth="1"/>
    <col min="47" max="47" width="7.5" style="944" customWidth="1"/>
    <col min="48" max="48" width="2.75" style="944" customWidth="1"/>
    <col min="49" max="49" width="8.75" style="944" customWidth="1"/>
    <col min="50" max="50" width="4" style="944" customWidth="1"/>
    <col min="51" max="51" width="8.25" style="981" customWidth="1"/>
    <col min="52" max="52" width="2.375" style="981" customWidth="1"/>
    <col min="53" max="53" width="8.25" style="981" customWidth="1"/>
    <col min="54" max="54" width="4.25" style="981" customWidth="1"/>
    <col min="55" max="55" width="8.375" style="944" customWidth="1"/>
    <col min="56" max="56" width="4" style="944" customWidth="1"/>
    <col min="57" max="57" width="7.375" style="944" customWidth="1"/>
    <col min="58" max="58" width="3.75" style="944" customWidth="1"/>
    <col min="59" max="59" width="7.5" style="981" customWidth="1"/>
    <col min="60" max="60" width="4.25" style="981" customWidth="1"/>
    <col min="61" max="61" width="7.625" style="981" customWidth="1"/>
    <col min="62" max="62" width="4.375" style="981" customWidth="1"/>
    <col min="63" max="63" width="8.125" style="944" customWidth="1"/>
    <col min="64" max="64" width="3.75" style="944" customWidth="1"/>
    <col min="65" max="65" width="6.5" style="944" customWidth="1"/>
    <col min="66" max="66" width="4.25" style="944" customWidth="1"/>
    <col min="67" max="67" width="7.125" style="8" customWidth="1"/>
    <col min="68" max="16384" width="9" style="8"/>
  </cols>
  <sheetData>
    <row r="1" spans="1:67" ht="28.5" customHeight="1">
      <c r="B1" s="1540" t="s">
        <v>134</v>
      </c>
      <c r="C1" s="1540"/>
      <c r="D1" s="1540"/>
      <c r="E1" s="1540"/>
      <c r="F1" s="1540"/>
      <c r="G1" s="1540"/>
      <c r="H1" s="1540"/>
      <c r="I1" s="1540"/>
      <c r="J1" s="1540"/>
      <c r="K1" s="1540"/>
      <c r="L1" s="1540"/>
      <c r="M1" s="1540"/>
      <c r="N1" s="1540"/>
      <c r="O1" s="1540"/>
      <c r="P1" s="1540"/>
      <c r="Q1" s="1540"/>
      <c r="R1" s="1540"/>
      <c r="S1" s="1540"/>
      <c r="T1" s="1540"/>
      <c r="U1" s="1540"/>
      <c r="V1" s="1540"/>
      <c r="W1" s="1540"/>
      <c r="X1" s="1540"/>
      <c r="Y1" s="1540"/>
      <c r="Z1" s="1540"/>
      <c r="AA1" s="2418"/>
      <c r="AB1" s="2418"/>
      <c r="AC1" s="2419"/>
      <c r="AD1" s="945"/>
      <c r="AE1" s="945"/>
      <c r="AF1" s="945"/>
      <c r="AG1" s="60"/>
      <c r="AJ1" s="1540" t="s">
        <v>134</v>
      </c>
      <c r="AK1" s="1540"/>
      <c r="AL1" s="1540"/>
      <c r="AM1" s="1540"/>
      <c r="AN1" s="1540"/>
      <c r="AO1" s="1540"/>
      <c r="AP1" s="1540"/>
      <c r="AQ1" s="1540"/>
      <c r="AR1" s="1540"/>
      <c r="AS1" s="1540"/>
      <c r="AT1" s="1540"/>
      <c r="AU1" s="1540"/>
      <c r="AV1" s="1540"/>
      <c r="AW1" s="1540"/>
      <c r="AX1" s="1540"/>
      <c r="AY1" s="1540"/>
      <c r="AZ1" s="1540"/>
      <c r="BA1" s="1540"/>
      <c r="BB1" s="1540"/>
      <c r="BC1" s="1540"/>
      <c r="BD1" s="1540"/>
      <c r="BE1" s="1540"/>
      <c r="BF1" s="1540"/>
      <c r="BG1" s="1540"/>
      <c r="BH1" s="1540"/>
      <c r="BI1" s="2418"/>
      <c r="BJ1" s="2418"/>
      <c r="BK1" s="2419"/>
      <c r="BL1" s="945"/>
      <c r="BM1" s="945"/>
      <c r="BN1" s="945"/>
      <c r="BO1" s="60"/>
    </row>
    <row r="2" spans="1:67" ht="51.75" customHeight="1">
      <c r="B2" s="2420" t="s">
        <v>135</v>
      </c>
      <c r="C2" s="2420"/>
      <c r="D2" s="2420"/>
      <c r="E2" s="2420"/>
      <c r="F2" s="2420"/>
      <c r="G2" s="2420"/>
      <c r="H2" s="2420"/>
      <c r="I2" s="2420"/>
      <c r="J2" s="2420"/>
      <c r="K2" s="2420"/>
      <c r="L2" s="2420"/>
      <c r="M2" s="2420"/>
      <c r="N2" s="2420"/>
      <c r="O2" s="2420"/>
      <c r="P2" s="2420"/>
      <c r="Q2" s="2420"/>
      <c r="R2" s="2420"/>
      <c r="S2" s="2420"/>
      <c r="T2" s="2420"/>
      <c r="U2" s="2420"/>
      <c r="V2" s="2420"/>
      <c r="W2" s="2420"/>
      <c r="X2" s="2420"/>
      <c r="Y2" s="2420"/>
      <c r="Z2" s="2420"/>
      <c r="AA2" s="2418"/>
      <c r="AB2" s="2418"/>
      <c r="AC2" s="2419"/>
      <c r="AD2" s="3128" t="s">
        <v>87</v>
      </c>
      <c r="AE2" s="3128"/>
      <c r="AF2" s="3130" t="s">
        <v>88</v>
      </c>
      <c r="AG2" s="3131"/>
      <c r="AJ2" s="2420" t="s">
        <v>1493</v>
      </c>
      <c r="AK2" s="2420"/>
      <c r="AL2" s="2420"/>
      <c r="AM2" s="2420"/>
      <c r="AN2" s="2420"/>
      <c r="AO2" s="2420"/>
      <c r="AP2" s="2420"/>
      <c r="AQ2" s="2420"/>
      <c r="AR2" s="2420"/>
      <c r="AS2" s="2420"/>
      <c r="AT2" s="2420"/>
      <c r="AU2" s="2420"/>
      <c r="AV2" s="2420"/>
      <c r="AW2" s="2420"/>
      <c r="AX2" s="2420"/>
      <c r="AY2" s="2420"/>
      <c r="AZ2" s="2420"/>
      <c r="BA2" s="2420"/>
      <c r="BB2" s="2420"/>
      <c r="BC2" s="2420"/>
      <c r="BD2" s="2420"/>
      <c r="BE2" s="2420"/>
      <c r="BF2" s="2420"/>
      <c r="BG2" s="2420"/>
      <c r="BH2" s="2420"/>
      <c r="BI2" s="2418"/>
      <c r="BJ2" s="2418"/>
      <c r="BK2" s="2419"/>
      <c r="BL2" s="3128" t="s">
        <v>87</v>
      </c>
      <c r="BM2" s="3128"/>
      <c r="BN2" s="3130" t="s">
        <v>88</v>
      </c>
      <c r="BO2" s="3131"/>
    </row>
    <row r="3" spans="1:67" ht="32.25" customHeight="1">
      <c r="A3" s="967"/>
      <c r="B3" s="1418" t="s">
        <v>126</v>
      </c>
      <c r="C3" s="1419"/>
      <c r="D3" s="1389"/>
      <c r="E3" s="1390"/>
      <c r="F3" s="1391"/>
      <c r="G3" s="1388" t="s">
        <v>1594</v>
      </c>
      <c r="H3" s="1812" t="str">
        <f>MENU!$AC$9</f>
        <v>Thứ 5,</v>
      </c>
      <c r="I3" s="3196" t="str">
        <f>MENU!$AD$9</f>
        <v>2024/08/01</v>
      </c>
      <c r="J3" s="3197"/>
      <c r="K3" s="3197"/>
      <c r="L3" s="3197"/>
      <c r="M3" s="942"/>
      <c r="N3" s="942"/>
      <c r="O3" s="942"/>
      <c r="P3" s="942"/>
      <c r="Q3" s="968"/>
      <c r="R3" s="968"/>
      <c r="S3" s="968"/>
      <c r="T3" s="968"/>
      <c r="U3" s="942"/>
      <c r="V3" s="942"/>
      <c r="W3" s="942"/>
      <c r="X3" s="942"/>
      <c r="Y3" s="968"/>
      <c r="Z3" s="968"/>
      <c r="AA3" s="982"/>
      <c r="AB3" s="982"/>
      <c r="AC3" s="945"/>
      <c r="AD3" s="3129" t="str">
        <f>MENU!AE6</f>
        <v>L.Yen</v>
      </c>
      <c r="AE3" s="3129"/>
      <c r="AF3" s="3132" t="s">
        <v>11</v>
      </c>
      <c r="AG3" s="3133"/>
      <c r="AI3" s="967"/>
      <c r="AJ3" s="1418" t="s">
        <v>126</v>
      </c>
      <c r="AK3" s="1419"/>
      <c r="AL3" s="1389"/>
      <c r="AM3" s="1390"/>
      <c r="AN3" s="1391"/>
      <c r="AO3" s="1388" t="s">
        <v>1594</v>
      </c>
      <c r="AP3" s="1812" t="str">
        <f>MENU!$AC$9</f>
        <v>Thứ 5,</v>
      </c>
      <c r="AQ3" s="3196" t="str">
        <f>MENU!$AD$9</f>
        <v>2024/08/01</v>
      </c>
      <c r="AR3" s="3197"/>
      <c r="AS3" s="3197"/>
      <c r="AT3" s="3197"/>
      <c r="AU3" s="942"/>
      <c r="AV3" s="942"/>
      <c r="AW3" s="942"/>
      <c r="AX3" s="942"/>
      <c r="AY3" s="968"/>
      <c r="AZ3" s="968"/>
      <c r="BA3" s="968"/>
      <c r="BB3" s="968"/>
      <c r="BC3" s="942"/>
      <c r="BD3" s="942"/>
      <c r="BE3" s="942"/>
      <c r="BF3" s="942"/>
      <c r="BG3" s="968"/>
      <c r="BH3" s="968"/>
      <c r="BI3" s="982"/>
      <c r="BJ3" s="982"/>
      <c r="BK3" s="945"/>
      <c r="BL3" s="3129" t="str">
        <f>MENU!AE6</f>
        <v>L.Yen</v>
      </c>
      <c r="BM3" s="3129"/>
      <c r="BN3" s="3132" t="s">
        <v>11</v>
      </c>
      <c r="BO3" s="3133"/>
    </row>
    <row r="4" spans="1:67" s="61" customFormat="1" ht="46.5" customHeight="1">
      <c r="A4" s="3273" t="s">
        <v>7</v>
      </c>
      <c r="B4" s="3151" t="s">
        <v>75</v>
      </c>
      <c r="C4" s="3152"/>
      <c r="D4" s="3152"/>
      <c r="E4" s="3153"/>
      <c r="F4" s="3149" t="s">
        <v>123</v>
      </c>
      <c r="G4" s="3180" t="s">
        <v>1296</v>
      </c>
      <c r="H4" s="3185" t="s">
        <v>1289</v>
      </c>
      <c r="I4" s="3167">
        <v>0.30208333333333331</v>
      </c>
      <c r="J4" s="3168"/>
      <c r="K4" s="3168"/>
      <c r="L4" s="3169"/>
      <c r="M4" s="3123" t="s">
        <v>929</v>
      </c>
      <c r="N4" s="3271"/>
      <c r="O4" s="3271"/>
      <c r="P4" s="3272"/>
      <c r="Q4" s="3167">
        <v>0.46875</v>
      </c>
      <c r="R4" s="3168"/>
      <c r="S4" s="3168"/>
      <c r="T4" s="3169"/>
      <c r="U4" s="3123" t="s">
        <v>929</v>
      </c>
      <c r="V4" s="3124"/>
      <c r="W4" s="3124"/>
      <c r="X4" s="3125"/>
      <c r="Y4" s="3167">
        <v>0.63541666666666663</v>
      </c>
      <c r="Z4" s="3168"/>
      <c r="AA4" s="3168"/>
      <c r="AB4" s="3169"/>
      <c r="AC4" s="3123" t="s">
        <v>929</v>
      </c>
      <c r="AD4" s="3124"/>
      <c r="AE4" s="3124"/>
      <c r="AF4" s="3125"/>
      <c r="AG4" s="3216" t="s">
        <v>38</v>
      </c>
      <c r="AI4" s="3273" t="s">
        <v>7</v>
      </c>
      <c r="AJ4" s="3151" t="s">
        <v>75</v>
      </c>
      <c r="AK4" s="3152"/>
      <c r="AL4" s="3152"/>
      <c r="AM4" s="3153"/>
      <c r="AN4" s="3149" t="s">
        <v>123</v>
      </c>
      <c r="AO4" s="3180" t="s">
        <v>1296</v>
      </c>
      <c r="AP4" s="3185" t="s">
        <v>1289</v>
      </c>
      <c r="AQ4" s="3209">
        <v>0.30208333333333331</v>
      </c>
      <c r="AR4" s="3168"/>
      <c r="AS4" s="3168"/>
      <c r="AT4" s="3169"/>
      <c r="AU4" s="3123" t="s">
        <v>929</v>
      </c>
      <c r="AV4" s="3271"/>
      <c r="AW4" s="3271"/>
      <c r="AX4" s="3272"/>
      <c r="AY4" s="3167">
        <v>0.46875</v>
      </c>
      <c r="AZ4" s="3168"/>
      <c r="BA4" s="3168"/>
      <c r="BB4" s="3169"/>
      <c r="BC4" s="3123" t="s">
        <v>929</v>
      </c>
      <c r="BD4" s="3271"/>
      <c r="BE4" s="3271"/>
      <c r="BF4" s="3272"/>
      <c r="BG4" s="3167">
        <v>0.63541666666666663</v>
      </c>
      <c r="BH4" s="3168"/>
      <c r="BI4" s="3168"/>
      <c r="BJ4" s="3169"/>
      <c r="BK4" s="3123" t="s">
        <v>929</v>
      </c>
      <c r="BL4" s="3271"/>
      <c r="BM4" s="3271"/>
      <c r="BN4" s="3272"/>
      <c r="BO4" s="3216" t="s">
        <v>38</v>
      </c>
    </row>
    <row r="5" spans="1:67" s="61" customFormat="1" ht="46.5" customHeight="1">
      <c r="A5" s="3273"/>
      <c r="B5" s="3154"/>
      <c r="C5" s="3155"/>
      <c r="D5" s="3155"/>
      <c r="E5" s="3156"/>
      <c r="F5" s="3150"/>
      <c r="G5" s="3181"/>
      <c r="H5" s="3186"/>
      <c r="I5" s="948" t="s">
        <v>128</v>
      </c>
      <c r="J5" s="3173" t="s">
        <v>1</v>
      </c>
      <c r="K5" s="3174"/>
      <c r="L5" s="3175"/>
      <c r="M5" s="906" t="s">
        <v>930</v>
      </c>
      <c r="N5" s="3126" t="s">
        <v>1</v>
      </c>
      <c r="O5" s="3126"/>
      <c r="P5" s="3127"/>
      <c r="Q5" s="948" t="s">
        <v>128</v>
      </c>
      <c r="R5" s="3173" t="s">
        <v>1</v>
      </c>
      <c r="S5" s="3174"/>
      <c r="T5" s="3175"/>
      <c r="U5" s="906" t="s">
        <v>128</v>
      </c>
      <c r="V5" s="3126" t="s">
        <v>1</v>
      </c>
      <c r="W5" s="3126"/>
      <c r="X5" s="3127"/>
      <c r="Y5" s="948" t="s">
        <v>128</v>
      </c>
      <c r="Z5" s="3173" t="s">
        <v>1</v>
      </c>
      <c r="AA5" s="3174"/>
      <c r="AB5" s="3175"/>
      <c r="AC5" s="906" t="s">
        <v>128</v>
      </c>
      <c r="AD5" s="3126" t="s">
        <v>1</v>
      </c>
      <c r="AE5" s="3126"/>
      <c r="AF5" s="3127"/>
      <c r="AG5" s="3217"/>
      <c r="AI5" s="3273"/>
      <c r="AJ5" s="3297"/>
      <c r="AK5" s="3298"/>
      <c r="AL5" s="3298"/>
      <c r="AM5" s="3299"/>
      <c r="AN5" s="3300"/>
      <c r="AO5" s="3301"/>
      <c r="AP5" s="3302"/>
      <c r="AQ5" s="2189" t="s">
        <v>128</v>
      </c>
      <c r="AR5" s="3173" t="s">
        <v>1</v>
      </c>
      <c r="AS5" s="3174"/>
      <c r="AT5" s="3175"/>
      <c r="AU5" s="906" t="s">
        <v>930</v>
      </c>
      <c r="AV5" s="3126" t="s">
        <v>1</v>
      </c>
      <c r="AW5" s="3126"/>
      <c r="AX5" s="3127"/>
      <c r="AY5" s="948" t="s">
        <v>128</v>
      </c>
      <c r="AZ5" s="3173" t="s">
        <v>1</v>
      </c>
      <c r="BA5" s="3174"/>
      <c r="BB5" s="3175"/>
      <c r="BC5" s="906" t="s">
        <v>128</v>
      </c>
      <c r="BD5" s="3126" t="s">
        <v>1</v>
      </c>
      <c r="BE5" s="3126"/>
      <c r="BF5" s="3127"/>
      <c r="BG5" s="948" t="s">
        <v>128</v>
      </c>
      <c r="BH5" s="3173" t="s">
        <v>1</v>
      </c>
      <c r="BI5" s="3174"/>
      <c r="BJ5" s="3175"/>
      <c r="BK5" s="906" t="s">
        <v>128</v>
      </c>
      <c r="BL5" s="3126" t="s">
        <v>1</v>
      </c>
      <c r="BM5" s="3126"/>
      <c r="BN5" s="3127"/>
      <c r="BO5" s="3305"/>
    </row>
    <row r="6" spans="1:67" ht="46.5" customHeight="1">
      <c r="A6" s="3249">
        <v>1</v>
      </c>
      <c r="B6" s="3251" t="s">
        <v>940</v>
      </c>
      <c r="C6" s="3252"/>
      <c r="D6" s="3164" t="s">
        <v>229</v>
      </c>
      <c r="E6" s="3165"/>
      <c r="F6" s="2858" t="s">
        <v>4</v>
      </c>
      <c r="G6" s="897" t="str">
        <f>'XM.FILE GOC'!$E$78</f>
        <v>40~60</v>
      </c>
      <c r="H6" s="2202" t="str">
        <f>'XM.FILE GOC'!$F$78</f>
        <v>(50±5)</v>
      </c>
      <c r="I6" s="2205">
        <f>'XM.FILE GOC'!I78</f>
        <v>48.026000000000003</v>
      </c>
      <c r="J6" s="969" t="s">
        <v>8</v>
      </c>
      <c r="K6" s="970">
        <f>'XM.FILE GOC'!L78</f>
        <v>30.630557999999947</v>
      </c>
      <c r="L6" s="971" t="s">
        <v>9</v>
      </c>
      <c r="M6" s="1573">
        <f>'3.XT-C KH'!M6</f>
        <v>50</v>
      </c>
      <c r="N6" s="908" t="s">
        <v>8</v>
      </c>
      <c r="O6" s="1588">
        <f>IF(M6=0,"",('XM.FILE GOC'!$G$78-M6)*15517/1000)</f>
        <v>0</v>
      </c>
      <c r="P6" s="909" t="s">
        <v>9</v>
      </c>
      <c r="Q6" s="2205">
        <f>'XM.FILE GOC'!P78</f>
        <v>50.9465</v>
      </c>
      <c r="R6" s="969" t="s">
        <v>8</v>
      </c>
      <c r="S6" s="970">
        <f>'XM.FILE GOC'!S78</f>
        <v>0</v>
      </c>
      <c r="T6" s="971" t="s">
        <v>9</v>
      </c>
      <c r="U6" s="1573">
        <f>'3.XT-C KH'!U6</f>
        <v>0</v>
      </c>
      <c r="V6" s="908" t="s">
        <v>8</v>
      </c>
      <c r="W6" s="1588" t="str">
        <f>IF(U6=0,"",('XM.FILE GOC'!$G$78-U6)*15517/1000)</f>
        <v/>
      </c>
      <c r="X6" s="909" t="s">
        <v>9</v>
      </c>
      <c r="Y6" s="2205">
        <f>'XM.FILE GOC'!W78</f>
        <v>51.271000000000001</v>
      </c>
      <c r="Z6" s="969" t="s">
        <v>8</v>
      </c>
      <c r="AA6" s="970">
        <f>'XM.FILE GOC'!Z78</f>
        <v>0</v>
      </c>
      <c r="AB6" s="971" t="s">
        <v>9</v>
      </c>
      <c r="AC6" s="1573">
        <f>'3.XT-C KH'!AC6</f>
        <v>0</v>
      </c>
      <c r="AD6" s="908" t="s">
        <v>8</v>
      </c>
      <c r="AE6" s="1588" t="str">
        <f>IF(AC6=0,"",('XM.FILE GOC'!$G$78-AC6)*15517/1000)</f>
        <v/>
      </c>
      <c r="AF6" s="909" t="s">
        <v>9</v>
      </c>
      <c r="AG6" s="2385" t="s">
        <v>39</v>
      </c>
      <c r="AI6" s="2851">
        <v>1</v>
      </c>
      <c r="AJ6" s="3303" t="s">
        <v>121</v>
      </c>
      <c r="AK6" s="3303"/>
      <c r="AL6" s="3303" t="s">
        <v>115</v>
      </c>
      <c r="AM6" s="3303"/>
      <c r="AN6" s="2049" t="s">
        <v>4</v>
      </c>
      <c r="AO6" s="2048" t="str">
        <f>'XM.GUI MAIL'!$E$99</f>
        <v>5~6</v>
      </c>
      <c r="AP6" s="2217" t="str">
        <f>'XM.GUI MAIL'!$F$99</f>
        <v>(5.5± 0.5)</v>
      </c>
      <c r="AQ6" s="2205">
        <f>'XM.FILE GOC'!I99</f>
        <v>0</v>
      </c>
      <c r="AR6" s="969" t="s">
        <v>8</v>
      </c>
      <c r="AS6" s="2804">
        <f>'XM.FILE GOC'!L99</f>
        <v>44</v>
      </c>
      <c r="AT6" s="2799" t="s">
        <v>9</v>
      </c>
      <c r="AU6" s="1573">
        <f>'3.XT-C KH'!AU6</f>
        <v>0</v>
      </c>
      <c r="AV6" s="908" t="s">
        <v>8</v>
      </c>
      <c r="AW6" s="2321" t="str">
        <f>IF(AU6=0,"",('XM.FILE GOC'!$G$99-AU6)*8000/1000)</f>
        <v/>
      </c>
      <c r="AX6" s="909" t="s">
        <v>9</v>
      </c>
      <c r="AY6" s="1398">
        <f>'XM.FILE GOC'!P99</f>
        <v>0</v>
      </c>
      <c r="AZ6" s="969" t="s">
        <v>8</v>
      </c>
      <c r="BA6" s="2804">
        <f>'XM.FILE GOC'!S99</f>
        <v>44</v>
      </c>
      <c r="BB6" s="2799" t="s">
        <v>9</v>
      </c>
      <c r="BC6" s="1573">
        <f>'3.XT-C KH'!BC6</f>
        <v>0</v>
      </c>
      <c r="BD6" s="908" t="s">
        <v>8</v>
      </c>
      <c r="BE6" s="2321" t="str">
        <f>IF(BC6=0,"",('XM.FILE GOC'!$G$99-BC6)*8000/1000)</f>
        <v/>
      </c>
      <c r="BF6" s="909" t="s">
        <v>9</v>
      </c>
      <c r="BG6" s="1398">
        <f>'XM.FILE GOC'!W99</f>
        <v>0</v>
      </c>
      <c r="BH6" s="969" t="s">
        <v>8</v>
      </c>
      <c r="BI6" s="2804">
        <f>'XM.FILE GOC'!Z99</f>
        <v>44</v>
      </c>
      <c r="BJ6" s="2799" t="s">
        <v>9</v>
      </c>
      <c r="BK6" s="1573">
        <f>'3.XT-C KH'!BK6</f>
        <v>0</v>
      </c>
      <c r="BL6" s="908" t="s">
        <v>8</v>
      </c>
      <c r="BM6" s="2321" t="str">
        <f>IF(BK6=0,"",('XM.FILE GOC'!$G$99-BK6)*8000/1000)</f>
        <v/>
      </c>
      <c r="BN6" s="909" t="s">
        <v>9</v>
      </c>
      <c r="BO6" s="2859" t="s">
        <v>40</v>
      </c>
    </row>
    <row r="7" spans="1:67" ht="46.5" customHeight="1">
      <c r="A7" s="3250"/>
      <c r="B7" s="3253"/>
      <c r="C7" s="3254"/>
      <c r="D7" s="3164" t="s">
        <v>230</v>
      </c>
      <c r="E7" s="3165"/>
      <c r="F7" s="896"/>
      <c r="G7" s="897" t="s">
        <v>1479</v>
      </c>
      <c r="H7" s="2202"/>
      <c r="I7" s="2191"/>
      <c r="J7" s="58"/>
      <c r="K7" s="952">
        <f>K6/25*8.5</f>
        <v>10.414389719999981</v>
      </c>
      <c r="L7" s="587" t="s">
        <v>10</v>
      </c>
      <c r="M7" s="1573">
        <f>'3.XT-C KH'!M7</f>
        <v>0</v>
      </c>
      <c r="N7" s="910" t="s">
        <v>8</v>
      </c>
      <c r="O7" s="1586">
        <f>IF(M6=0,"",O6/25*8.5)</f>
        <v>0</v>
      </c>
      <c r="P7" s="911" t="s">
        <v>10</v>
      </c>
      <c r="Q7" s="2191"/>
      <c r="R7" s="58"/>
      <c r="S7" s="952">
        <f>S6/25*8.5</f>
        <v>0</v>
      </c>
      <c r="T7" s="587" t="s">
        <v>10</v>
      </c>
      <c r="U7" s="1573">
        <f>'3.XT-C KH'!U7</f>
        <v>0</v>
      </c>
      <c r="V7" s="910" t="s">
        <v>8</v>
      </c>
      <c r="W7" s="1586" t="str">
        <f>IF(U6=0,"",W6/25*8.5)</f>
        <v/>
      </c>
      <c r="X7" s="911" t="s">
        <v>10</v>
      </c>
      <c r="Y7" s="2191"/>
      <c r="Z7" s="58"/>
      <c r="AA7" s="952">
        <f>AA6/25*8.5</f>
        <v>0</v>
      </c>
      <c r="AB7" s="587" t="s">
        <v>10</v>
      </c>
      <c r="AC7" s="1573">
        <f>'3.XT-C KH'!AC7</f>
        <v>0</v>
      </c>
      <c r="AD7" s="910" t="s">
        <v>8</v>
      </c>
      <c r="AE7" s="1586" t="str">
        <f>IF(AC6=0,"",AE6/25*8.5)</f>
        <v/>
      </c>
      <c r="AF7" s="911" t="s">
        <v>10</v>
      </c>
      <c r="AG7" s="2385"/>
      <c r="AI7" s="2864">
        <v>2</v>
      </c>
      <c r="AJ7" s="3303"/>
      <c r="AK7" s="3303"/>
      <c r="AL7" s="3303" t="s">
        <v>99</v>
      </c>
      <c r="AM7" s="3303"/>
      <c r="AN7" s="2049" t="s">
        <v>4</v>
      </c>
      <c r="AO7" s="2048" t="str">
        <f>'XM.GUI MAIL'!$E$100</f>
        <v>130~140</v>
      </c>
      <c r="AP7" s="2801" t="str">
        <f>'XM.GUI MAIL'!$F$100</f>
        <v>(135 ± 5)</v>
      </c>
      <c r="AQ7" s="53">
        <f>'XM.FILE GOC'!I100</f>
        <v>0</v>
      </c>
      <c r="AR7" s="969" t="s">
        <v>8</v>
      </c>
      <c r="AS7" s="2804">
        <f>'XM.FILE GOC'!L100</f>
        <v>1080</v>
      </c>
      <c r="AT7" s="2799" t="s">
        <v>9</v>
      </c>
      <c r="AU7" s="1573">
        <f>'3.XT-C KH'!AU7</f>
        <v>0</v>
      </c>
      <c r="AV7" s="908" t="s">
        <v>8</v>
      </c>
      <c r="AW7" s="1589" t="str">
        <f>IF(AU7=0,"",('XM.FILE GOC'!$G$100-AU7)*8000/1000)</f>
        <v/>
      </c>
      <c r="AX7" s="909" t="s">
        <v>9</v>
      </c>
      <c r="AY7" s="53">
        <f>'XM.FILE GOC'!P100</f>
        <v>0</v>
      </c>
      <c r="AZ7" s="969" t="s">
        <v>8</v>
      </c>
      <c r="BA7" s="2804">
        <f>'XM.FILE GOC'!S100</f>
        <v>1080</v>
      </c>
      <c r="BB7" s="2799" t="s">
        <v>9</v>
      </c>
      <c r="BC7" s="1573">
        <f>'3.XT-C KH'!BC7</f>
        <v>0</v>
      </c>
      <c r="BD7" s="908" t="s">
        <v>8</v>
      </c>
      <c r="BE7" s="1589" t="str">
        <f>IF(BC7=0,"",('XM.FILE GOC'!$G$100-BC7)*8000/1000)</f>
        <v/>
      </c>
      <c r="BF7" s="909" t="s">
        <v>9</v>
      </c>
      <c r="BG7" s="53">
        <f>'XM.FILE GOC'!W100</f>
        <v>0</v>
      </c>
      <c r="BH7" s="969" t="s">
        <v>8</v>
      </c>
      <c r="BI7" s="2804">
        <f>'XM.FILE GOC'!Z100</f>
        <v>1080</v>
      </c>
      <c r="BJ7" s="2800" t="s">
        <v>9</v>
      </c>
      <c r="BK7" s="1573">
        <f>'3.XT-C KH'!BK7</f>
        <v>0</v>
      </c>
      <c r="BL7" s="908" t="s">
        <v>8</v>
      </c>
      <c r="BM7" s="1589" t="str">
        <f>IF(BK7=0,"",('XM.FILE GOC'!$G$100-BK7)*8000/1000)</f>
        <v/>
      </c>
      <c r="BN7" s="909" t="s">
        <v>9</v>
      </c>
      <c r="BO7" s="2859" t="s">
        <v>41</v>
      </c>
    </row>
    <row r="8" spans="1:67" ht="46.5" customHeight="1">
      <c r="A8" s="3249">
        <v>2</v>
      </c>
      <c r="B8" s="3251" t="s">
        <v>941</v>
      </c>
      <c r="C8" s="3252"/>
      <c r="D8" s="3164" t="s">
        <v>229</v>
      </c>
      <c r="E8" s="3165"/>
      <c r="F8" s="2858" t="s">
        <v>4</v>
      </c>
      <c r="G8" s="897" t="str">
        <f>'XM.FILE GOC'!$E$80</f>
        <v>40~60</v>
      </c>
      <c r="H8" s="2202" t="str">
        <f>'XM.FILE GOC'!$F$80</f>
        <v>(50±5)</v>
      </c>
      <c r="I8" s="2205">
        <f>'XM.FILE GOC'!I80</f>
        <v>49.648500000000006</v>
      </c>
      <c r="J8" s="969" t="s">
        <v>8</v>
      </c>
      <c r="K8" s="970">
        <f>'XM.FILE GOC'!L80</f>
        <v>4.0334624999999358</v>
      </c>
      <c r="L8" s="971" t="s">
        <v>9</v>
      </c>
      <c r="M8" s="1573">
        <f>'3.XT-C KH'!M8</f>
        <v>50.3</v>
      </c>
      <c r="N8" s="908" t="s">
        <v>8</v>
      </c>
      <c r="O8" s="1588">
        <f>IF(M8=0,"",('XM.FILE GOC'!$G$80-M8)*11475/1000)</f>
        <v>-3.4424999999999675</v>
      </c>
      <c r="P8" s="909" t="s">
        <v>9</v>
      </c>
      <c r="Q8" s="2205">
        <f>'XM.FILE GOC'!P80</f>
        <v>50.297499999999999</v>
      </c>
      <c r="R8" s="969" t="s">
        <v>8</v>
      </c>
      <c r="S8" s="970">
        <f>'XM.FILE GOC'!S80</f>
        <v>0</v>
      </c>
      <c r="T8" s="971" t="s">
        <v>9</v>
      </c>
      <c r="U8" s="1573">
        <f>'3.XT-C KH'!U8</f>
        <v>0</v>
      </c>
      <c r="V8" s="908" t="s">
        <v>8</v>
      </c>
      <c r="W8" s="1588" t="str">
        <f>IF(U8=0,"",('XM.FILE GOC'!$G$80-U8)*11475/1000)</f>
        <v/>
      </c>
      <c r="X8" s="909" t="s">
        <v>9</v>
      </c>
      <c r="Y8" s="2205">
        <f>'XM.FILE GOC'!W80</f>
        <v>50.297499999999999</v>
      </c>
      <c r="Z8" s="969" t="s">
        <v>8</v>
      </c>
      <c r="AA8" s="970">
        <f>'XM.FILE GOC'!Z80</f>
        <v>0</v>
      </c>
      <c r="AB8" s="971" t="s">
        <v>9</v>
      </c>
      <c r="AC8" s="1573">
        <f>'3.XT-C KH'!AC8</f>
        <v>0</v>
      </c>
      <c r="AD8" s="908" t="s">
        <v>8</v>
      </c>
      <c r="AE8" s="1588" t="str">
        <f>IF(AC8=0,"",('XM.FILE GOC'!$G$80-AC8)*11475/1000)</f>
        <v/>
      </c>
      <c r="AF8" s="909" t="s">
        <v>9</v>
      </c>
      <c r="AG8" s="2385" t="s">
        <v>39</v>
      </c>
      <c r="AI8" s="2863">
        <v>3</v>
      </c>
      <c r="AJ8" s="3304" t="s">
        <v>1596</v>
      </c>
      <c r="AK8" s="3304"/>
      <c r="AL8" s="3304"/>
      <c r="AM8" s="3304"/>
      <c r="AN8" s="2795" t="s">
        <v>5</v>
      </c>
      <c r="AO8" s="2048" t="str">
        <f>'XM.GUI MAIL'!$E$101</f>
        <v>3.0-4.5</v>
      </c>
      <c r="AP8" s="2217" t="str">
        <f>'XM.GUI MAIL'!$F$101</f>
        <v>(4.3±0.2)</v>
      </c>
      <c r="AQ8" s="594">
        <f>'XM.FILE GOC'!I101</f>
        <v>0</v>
      </c>
      <c r="AR8" s="969"/>
      <c r="AS8" s="2804"/>
      <c r="AT8" s="2799"/>
      <c r="AU8" s="1573">
        <f>'3.XT-C KH'!AU8</f>
        <v>0</v>
      </c>
      <c r="AV8" s="910"/>
      <c r="AW8" s="1588"/>
      <c r="AX8" s="911"/>
      <c r="AY8" s="594">
        <f>'XM.FILE GOC'!P101</f>
        <v>0</v>
      </c>
      <c r="AZ8" s="969"/>
      <c r="BA8" s="2804"/>
      <c r="BB8" s="2799"/>
      <c r="BC8" s="1573">
        <f>'3.XT-C KH'!BC8</f>
        <v>0</v>
      </c>
      <c r="BD8" s="910"/>
      <c r="BE8" s="1588"/>
      <c r="BF8" s="911"/>
      <c r="BG8" s="594">
        <f>'XM.FILE GOC'!W101</f>
        <v>0</v>
      </c>
      <c r="BH8" s="969"/>
      <c r="BI8" s="2804"/>
      <c r="BJ8" s="2799"/>
      <c r="BK8" s="1573">
        <f>'3.XT-C KH'!BK8</f>
        <v>0</v>
      </c>
      <c r="BL8" s="910"/>
      <c r="BM8" s="1588"/>
      <c r="BN8" s="911"/>
      <c r="BO8" s="2859" t="s">
        <v>42</v>
      </c>
    </row>
    <row r="9" spans="1:67" ht="46.5" customHeight="1">
      <c r="A9" s="3250"/>
      <c r="B9" s="3253"/>
      <c r="C9" s="3254"/>
      <c r="D9" s="3164" t="s">
        <v>230</v>
      </c>
      <c r="E9" s="3165"/>
      <c r="F9" s="896"/>
      <c r="G9" s="897" t="s">
        <v>1479</v>
      </c>
      <c r="H9" s="2202"/>
      <c r="I9" s="2191"/>
      <c r="J9" s="58"/>
      <c r="K9" s="952">
        <f>K8/25*8.5</f>
        <v>1.3713772499999783</v>
      </c>
      <c r="L9" s="587" t="s">
        <v>10</v>
      </c>
      <c r="M9" s="1573">
        <f>'3.XT-C KH'!M9</f>
        <v>0</v>
      </c>
      <c r="N9" s="910" t="s">
        <v>8</v>
      </c>
      <c r="O9" s="1586">
        <f>IF(M8=0,"",O8/25*8.5)</f>
        <v>-1.1704499999999891</v>
      </c>
      <c r="P9" s="911" t="s">
        <v>10</v>
      </c>
      <c r="Q9" s="2191"/>
      <c r="R9" s="58"/>
      <c r="S9" s="952">
        <f>S8/25*8.5</f>
        <v>0</v>
      </c>
      <c r="T9" s="587" t="s">
        <v>10</v>
      </c>
      <c r="U9" s="1573">
        <f>'3.XT-C KH'!U9</f>
        <v>0</v>
      </c>
      <c r="V9" s="910" t="s">
        <v>8</v>
      </c>
      <c r="W9" s="1586" t="str">
        <f>IF(U8=0,"",W8/25*8.5)</f>
        <v/>
      </c>
      <c r="X9" s="911" t="s">
        <v>10</v>
      </c>
      <c r="Y9" s="2191"/>
      <c r="Z9" s="58"/>
      <c r="AA9" s="952">
        <f>AA8/25*8.5</f>
        <v>0</v>
      </c>
      <c r="AB9" s="587" t="s">
        <v>10</v>
      </c>
      <c r="AC9" s="1573">
        <f>'3.XT-C KH'!AC9</f>
        <v>0</v>
      </c>
      <c r="AD9" s="910" t="s">
        <v>8</v>
      </c>
      <c r="AE9" s="1586" t="str">
        <f>IF(AC8=0,"",AE8/25*8.5)</f>
        <v/>
      </c>
      <c r="AF9" s="911" t="s">
        <v>10</v>
      </c>
      <c r="AG9" s="2385"/>
      <c r="AI9" s="2863">
        <v>4</v>
      </c>
      <c r="AJ9" s="3248" t="s">
        <v>1631</v>
      </c>
      <c r="AK9" s="3248"/>
      <c r="AL9" s="3248"/>
      <c r="AM9" s="3248"/>
      <c r="AN9" s="2796" t="s">
        <v>54</v>
      </c>
      <c r="AO9" s="2797">
        <f>'XM.GUI MAIL'!$E$102</f>
        <v>0</v>
      </c>
      <c r="AP9" s="2798">
        <f>'XM.GUI MAIL'!$F$102</f>
        <v>0</v>
      </c>
      <c r="AQ9" s="978">
        <f>'XM.FILE GOC'!I102</f>
        <v>0</v>
      </c>
      <c r="AR9" s="2106" t="s">
        <v>8</v>
      </c>
      <c r="AS9" s="2107">
        <f>'XM.FILE GOC'!L102</f>
        <v>201.6</v>
      </c>
      <c r="AT9" s="2108" t="s">
        <v>9</v>
      </c>
      <c r="AU9" s="1573">
        <f>'3.XT-C KH'!AU9</f>
        <v>0</v>
      </c>
      <c r="AV9" s="946" t="s">
        <v>8</v>
      </c>
      <c r="AW9" s="2820" t="str">
        <f>IF(AU9=0,"",('XM.FILE GOC'!$G$102-AU9)*3360/1000)</f>
        <v/>
      </c>
      <c r="AX9" s="916" t="s">
        <v>9</v>
      </c>
      <c r="AY9" s="2850">
        <f>'XM.FILE GOC'!P102</f>
        <v>0</v>
      </c>
      <c r="AZ9" s="2842" t="s">
        <v>8</v>
      </c>
      <c r="BA9" s="2843">
        <f>'XM.FILE GOC'!S102</f>
        <v>201.6</v>
      </c>
      <c r="BB9" s="2844" t="s">
        <v>9</v>
      </c>
      <c r="BC9" s="1573">
        <f>'3.XT-C KH'!BC9</f>
        <v>0</v>
      </c>
      <c r="BD9" s="2846" t="s">
        <v>8</v>
      </c>
      <c r="BE9" s="2820" t="str">
        <f>IF(BC9=0,"",('XM.FILE GOC'!$G$102-BC9)*3360/1000)</f>
        <v/>
      </c>
      <c r="BF9" s="2848" t="s">
        <v>9</v>
      </c>
      <c r="BG9" s="2850">
        <f>'XM.FILE GOC'!W102</f>
        <v>0</v>
      </c>
      <c r="BH9" s="2842" t="s">
        <v>8</v>
      </c>
      <c r="BI9" s="2843">
        <f>'XM.FILE GOC'!Z102</f>
        <v>201.6</v>
      </c>
      <c r="BJ9" s="2849" t="s">
        <v>9</v>
      </c>
      <c r="BK9" s="1573">
        <f>'3.XT-C KH'!BK9</f>
        <v>0</v>
      </c>
      <c r="BL9" s="2846" t="s">
        <v>8</v>
      </c>
      <c r="BM9" s="2820" t="str">
        <f>IF(BK9=0,"",('XM.FILE GOC'!$G$102-BK9)*3360/1000)</f>
        <v/>
      </c>
      <c r="BN9" s="2848" t="s">
        <v>9</v>
      </c>
      <c r="BO9" s="2859"/>
    </row>
    <row r="10" spans="1:67" ht="46.5" customHeight="1">
      <c r="A10" s="3249">
        <v>3</v>
      </c>
      <c r="B10" s="3162" t="s">
        <v>942</v>
      </c>
      <c r="C10" s="3163"/>
      <c r="D10" s="3256" t="s">
        <v>231</v>
      </c>
      <c r="E10" s="3257" t="s">
        <v>231</v>
      </c>
      <c r="F10" s="2857" t="s">
        <v>4</v>
      </c>
      <c r="G10" s="897" t="str">
        <f>'XM.GUI MAIL'!$E$82</f>
        <v>50~70</v>
      </c>
      <c r="H10" s="2202" t="str">
        <f>'XM.FILE GOC'!$F$82</f>
        <v>(60±5)</v>
      </c>
      <c r="I10" s="2205">
        <f>'XM.FILE GOC'!I82</f>
        <v>61.446000000000005</v>
      </c>
      <c r="J10" s="58" t="s">
        <v>8</v>
      </c>
      <c r="K10" s="586">
        <f>'XM.FILE GOC'!L82</f>
        <v>0</v>
      </c>
      <c r="L10" s="587" t="s">
        <v>9</v>
      </c>
      <c r="M10" s="1573">
        <f>'3.XT-C KH'!M10</f>
        <v>0</v>
      </c>
      <c r="N10" s="908" t="s">
        <v>8</v>
      </c>
      <c r="O10" s="1588" t="str">
        <f>IF(M10=0,"",('XM.FILE GOC'!$G$82-M10)*8200/1000)</f>
        <v/>
      </c>
      <c r="P10" s="909" t="s">
        <v>9</v>
      </c>
      <c r="Q10" s="2205">
        <f>'XM.FILE GOC'!P82</f>
        <v>61.908000000000001</v>
      </c>
      <c r="R10" s="58" t="s">
        <v>8</v>
      </c>
      <c r="S10" s="586">
        <f>'XM.FILE GOC'!S82</f>
        <v>0</v>
      </c>
      <c r="T10" s="587" t="s">
        <v>9</v>
      </c>
      <c r="U10" s="1573">
        <f>'3.XT-C KH'!U10</f>
        <v>0</v>
      </c>
      <c r="V10" s="908" t="s">
        <v>8</v>
      </c>
      <c r="W10" s="1588" t="str">
        <f>IF(U10=0,"",('XM.FILE GOC'!$G$82-U10)*8200/1000)</f>
        <v/>
      </c>
      <c r="X10" s="909" t="s">
        <v>9</v>
      </c>
      <c r="Y10" s="2205">
        <f>'XM.FILE GOC'!W82</f>
        <v>62.370000000000005</v>
      </c>
      <c r="Z10" s="58" t="s">
        <v>8</v>
      </c>
      <c r="AA10" s="586">
        <f>'XM.FILE GOC'!Z82</f>
        <v>0</v>
      </c>
      <c r="AB10" s="971" t="s">
        <v>9</v>
      </c>
      <c r="AC10" s="1573">
        <f>'3.XT-C KH'!AC10</f>
        <v>0</v>
      </c>
      <c r="AD10" s="908" t="s">
        <v>8</v>
      </c>
      <c r="AE10" s="1588" t="str">
        <f>IF(AC10=0,"",('XM.FILE GOC'!$G$82-AC10)*8200/1000)</f>
        <v/>
      </c>
      <c r="AF10" s="909" t="s">
        <v>9</v>
      </c>
      <c r="AG10" s="2385" t="s">
        <v>39</v>
      </c>
      <c r="AI10" s="2860"/>
      <c r="AJ10" s="2421" t="s">
        <v>2</v>
      </c>
      <c r="AK10" s="2422"/>
      <c r="AL10" s="2422"/>
      <c r="AM10" s="2422"/>
      <c r="AN10" s="2422"/>
      <c r="AO10" s="2422"/>
      <c r="AP10" s="2422"/>
      <c r="AQ10" s="2422"/>
      <c r="AR10" s="2422"/>
      <c r="AS10" s="2422"/>
      <c r="AT10" s="2422"/>
      <c r="AU10" s="2422"/>
      <c r="AV10" s="2422"/>
      <c r="AW10" s="2422"/>
      <c r="AX10" s="2422"/>
      <c r="AY10" s="2422"/>
      <c r="AZ10" s="2422"/>
      <c r="BA10" s="2422"/>
      <c r="BB10" s="2422"/>
      <c r="BC10" s="2422"/>
      <c r="BD10" s="2422"/>
      <c r="BE10" s="2422"/>
      <c r="BF10" s="2422"/>
      <c r="BG10" s="2422"/>
      <c r="BH10" s="2422"/>
      <c r="BI10" s="2422"/>
      <c r="BJ10" s="2422"/>
      <c r="BK10" s="2422"/>
      <c r="BL10" s="2422"/>
      <c r="BM10" s="2422"/>
      <c r="BN10" s="2422"/>
      <c r="BO10" s="2423"/>
    </row>
    <row r="11" spans="1:67" ht="46.5" customHeight="1">
      <c r="A11" s="3255"/>
      <c r="B11" s="3163"/>
      <c r="C11" s="3163"/>
      <c r="D11" s="3256" t="s">
        <v>232</v>
      </c>
      <c r="E11" s="3257" t="s">
        <v>232</v>
      </c>
      <c r="F11" s="1004"/>
      <c r="G11" s="897" t="s">
        <v>1261</v>
      </c>
      <c r="H11" s="2202"/>
      <c r="I11" s="2191"/>
      <c r="J11" s="58"/>
      <c r="K11" s="952">
        <f>K10/25*8</f>
        <v>0</v>
      </c>
      <c r="L11" s="587" t="s">
        <v>10</v>
      </c>
      <c r="M11" s="1573">
        <f>'3.XT-C KH'!M11</f>
        <v>0</v>
      </c>
      <c r="N11" s="910" t="s">
        <v>8</v>
      </c>
      <c r="O11" s="1586" t="str">
        <f>IF(M10=0,"",O10/25*8)</f>
        <v/>
      </c>
      <c r="P11" s="911" t="s">
        <v>10</v>
      </c>
      <c r="Q11" s="2191"/>
      <c r="R11" s="58"/>
      <c r="S11" s="952">
        <f>S10/25*8</f>
        <v>0</v>
      </c>
      <c r="T11" s="587" t="s">
        <v>10</v>
      </c>
      <c r="U11" s="1573">
        <f>'3.XT-C KH'!U11</f>
        <v>0</v>
      </c>
      <c r="V11" s="910" t="s">
        <v>8</v>
      </c>
      <c r="W11" s="1586" t="str">
        <f>IF(U10=0,"",W10/25*8)</f>
        <v/>
      </c>
      <c r="X11" s="911" t="s">
        <v>10</v>
      </c>
      <c r="Y11" s="2191"/>
      <c r="Z11" s="58"/>
      <c r="AA11" s="952">
        <f>AA10/25*8</f>
        <v>0</v>
      </c>
      <c r="AB11" s="587" t="s">
        <v>10</v>
      </c>
      <c r="AC11" s="1573">
        <f>'3.XT-C KH'!AC11</f>
        <v>0</v>
      </c>
      <c r="AD11" s="910" t="s">
        <v>8</v>
      </c>
      <c r="AE11" s="1586" t="str">
        <f>IF(AC10=0,"",AE10/25*8)</f>
        <v/>
      </c>
      <c r="AF11" s="911" t="s">
        <v>10</v>
      </c>
      <c r="AG11" s="2385"/>
      <c r="AI11" s="2860"/>
      <c r="AJ11" s="3310" t="s">
        <v>948</v>
      </c>
      <c r="AK11" s="3311"/>
      <c r="AL11" s="3311"/>
      <c r="AM11" s="3312"/>
      <c r="AN11" s="2861" t="s">
        <v>949</v>
      </c>
      <c r="AO11" s="2861" t="s">
        <v>1296</v>
      </c>
      <c r="AP11" s="2204" t="s">
        <v>1289</v>
      </c>
      <c r="AQ11" s="3227" t="s">
        <v>950</v>
      </c>
      <c r="AR11" s="3228"/>
      <c r="AS11" s="3229" t="s">
        <v>951</v>
      </c>
      <c r="AT11" s="3228"/>
      <c r="AU11" s="917"/>
      <c r="AV11" s="918"/>
      <c r="AW11" s="918"/>
      <c r="AX11" s="919"/>
      <c r="AY11" s="3229" t="s">
        <v>950</v>
      </c>
      <c r="AZ11" s="3228"/>
      <c r="BA11" s="3229" t="s">
        <v>951</v>
      </c>
      <c r="BB11" s="3228"/>
      <c r="BC11" s="917"/>
      <c r="BD11" s="918"/>
      <c r="BE11" s="918"/>
      <c r="BF11" s="919"/>
      <c r="BG11" s="3229" t="s">
        <v>950</v>
      </c>
      <c r="BH11" s="3228"/>
      <c r="BI11" s="3229" t="s">
        <v>951</v>
      </c>
      <c r="BJ11" s="3228"/>
      <c r="BK11" s="917"/>
      <c r="BL11" s="918"/>
      <c r="BM11" s="918"/>
      <c r="BN11" s="919"/>
      <c r="BO11" s="10"/>
    </row>
    <row r="12" spans="1:67" ht="46.5" customHeight="1">
      <c r="A12" s="3249">
        <v>4</v>
      </c>
      <c r="B12" s="3162" t="s">
        <v>943</v>
      </c>
      <c r="C12" s="3163"/>
      <c r="D12" s="3256" t="s">
        <v>231</v>
      </c>
      <c r="E12" s="3257" t="s">
        <v>231</v>
      </c>
      <c r="F12" s="2857" t="s">
        <v>4</v>
      </c>
      <c r="G12" s="897" t="str">
        <f>'XM.GUI MAIL'!$E$84</f>
        <v>50~70</v>
      </c>
      <c r="H12" s="2202" t="str">
        <f>'XM.FILE GOC'!$F$84</f>
        <v>(60±5)</v>
      </c>
      <c r="I12" s="2205">
        <f>'XM.FILE GOC'!I84</f>
        <v>59.598000000000006</v>
      </c>
      <c r="J12" s="969" t="s">
        <v>8</v>
      </c>
      <c r="K12" s="970">
        <f>'XM.FILE GOC'!L84</f>
        <v>3.4845359999999475</v>
      </c>
      <c r="L12" s="971" t="s">
        <v>9</v>
      </c>
      <c r="M12" s="1573">
        <f>'3.XT-C KH'!M12</f>
        <v>60.3</v>
      </c>
      <c r="N12" s="908" t="s">
        <v>8</v>
      </c>
      <c r="O12" s="1589">
        <f>IF(M12=0,"",('XM.FILE GOC'!$G$84-M12)*8668/1000)</f>
        <v>-2.6003999999999756</v>
      </c>
      <c r="P12" s="909" t="s">
        <v>9</v>
      </c>
      <c r="Q12" s="2205">
        <f>'XM.FILE GOC'!P84</f>
        <v>60.753</v>
      </c>
      <c r="R12" s="969" t="s">
        <v>8</v>
      </c>
      <c r="S12" s="970">
        <f>'XM.FILE GOC'!S84</f>
        <v>0</v>
      </c>
      <c r="T12" s="971" t="s">
        <v>9</v>
      </c>
      <c r="U12" s="1573">
        <f>'3.XT-C KH'!U12</f>
        <v>0</v>
      </c>
      <c r="V12" s="908" t="s">
        <v>8</v>
      </c>
      <c r="W12" s="1589" t="str">
        <f>IF(U12=0,"",('XM.FILE GOC'!$G$84-U12)*8668/1000)</f>
        <v/>
      </c>
      <c r="X12" s="909" t="s">
        <v>9</v>
      </c>
      <c r="Y12" s="2205">
        <f>'XM.FILE GOC'!W84</f>
        <v>61.215000000000003</v>
      </c>
      <c r="Z12" s="969" t="s">
        <v>8</v>
      </c>
      <c r="AA12" s="970">
        <f>'XM.FILE GOC'!Z84</f>
        <v>0</v>
      </c>
      <c r="AB12" s="971" t="s">
        <v>9</v>
      </c>
      <c r="AC12" s="1573">
        <f>'3.XT-C KH'!AC12</f>
        <v>0</v>
      </c>
      <c r="AD12" s="908" t="s">
        <v>8</v>
      </c>
      <c r="AE12" s="1589" t="str">
        <f>IF(AC12=0,"",('XM.FILE GOC'!$G$84-AC12)*8668/1000)</f>
        <v/>
      </c>
      <c r="AF12" s="909" t="s">
        <v>9</v>
      </c>
      <c r="AG12" s="2385" t="s">
        <v>39</v>
      </c>
      <c r="AI12" s="2860">
        <v>5</v>
      </c>
      <c r="AJ12" s="3306" t="s">
        <v>116</v>
      </c>
      <c r="AK12" s="3307"/>
      <c r="AL12" s="3307"/>
      <c r="AM12" s="3308"/>
      <c r="AN12" s="2050" t="s">
        <v>26</v>
      </c>
      <c r="AO12" s="2051" t="str">
        <f>'XM.GUI MAIL'!$E$117</f>
        <v>24~28</v>
      </c>
      <c r="AP12" s="2219" t="str">
        <f>'XM.GUI MAIL'!$F$117</f>
        <v>(26±2)</v>
      </c>
      <c r="AQ12" s="3309">
        <f>'XM.FILE GOC'!I117</f>
        <v>0</v>
      </c>
      <c r="AR12" s="3108"/>
      <c r="AS12" s="3107">
        <f>'XM.FILE GOC'!L117</f>
        <v>0</v>
      </c>
      <c r="AT12" s="3108"/>
      <c r="AU12" s="920"/>
      <c r="AV12" s="921"/>
      <c r="AW12" s="921"/>
      <c r="AX12" s="922"/>
      <c r="AY12" s="3107">
        <f>'XM.FILE GOC'!P117</f>
        <v>0</v>
      </c>
      <c r="AZ12" s="3108"/>
      <c r="BA12" s="3107">
        <f>'XM.FILE GOC'!S117</f>
        <v>0</v>
      </c>
      <c r="BB12" s="3108"/>
      <c r="BC12" s="920"/>
      <c r="BD12" s="921"/>
      <c r="BE12" s="921"/>
      <c r="BF12" s="922"/>
      <c r="BG12" s="3107">
        <f>'XM.FILE GOC'!W117</f>
        <v>0</v>
      </c>
      <c r="BH12" s="3108"/>
      <c r="BI12" s="3107">
        <f>'XM.FILE GOC'!Z117</f>
        <v>0</v>
      </c>
      <c r="BJ12" s="3108"/>
      <c r="BK12" s="920"/>
      <c r="BL12" s="921"/>
      <c r="BM12" s="921"/>
      <c r="BN12" s="922"/>
      <c r="BO12" s="73"/>
    </row>
    <row r="13" spans="1:67" ht="46.5" customHeight="1">
      <c r="A13" s="3255"/>
      <c r="B13" s="3267"/>
      <c r="C13" s="3267"/>
      <c r="D13" s="3256" t="s">
        <v>232</v>
      </c>
      <c r="E13" s="3257" t="s">
        <v>232</v>
      </c>
      <c r="F13" s="1004"/>
      <c r="G13" s="897" t="s">
        <v>1261</v>
      </c>
      <c r="H13" s="2202"/>
      <c r="I13" s="2191"/>
      <c r="J13" s="58"/>
      <c r="K13" s="952">
        <f>K12/25*8</f>
        <v>1.1150515199999831</v>
      </c>
      <c r="L13" s="587" t="s">
        <v>10</v>
      </c>
      <c r="M13" s="1573">
        <f>'3.XT-C KH'!M13</f>
        <v>0</v>
      </c>
      <c r="N13" s="910" t="s">
        <v>8</v>
      </c>
      <c r="O13" s="1586">
        <f>IF(M12=0,"",O12/25*8)</f>
        <v>-0.83212799999999221</v>
      </c>
      <c r="P13" s="911" t="s">
        <v>10</v>
      </c>
      <c r="Q13" s="2191"/>
      <c r="R13" s="58"/>
      <c r="S13" s="952">
        <f>S12/25*8</f>
        <v>0</v>
      </c>
      <c r="T13" s="587" t="s">
        <v>10</v>
      </c>
      <c r="U13" s="1573">
        <f>'3.XT-C KH'!U13</f>
        <v>0</v>
      </c>
      <c r="V13" s="910" t="s">
        <v>8</v>
      </c>
      <c r="W13" s="1586" t="str">
        <f>IF(U12=0,"",W12/25*8)</f>
        <v/>
      </c>
      <c r="X13" s="911" t="s">
        <v>10</v>
      </c>
      <c r="Y13" s="2191"/>
      <c r="Z13" s="58"/>
      <c r="AA13" s="952">
        <f>AA12/25*8</f>
        <v>0</v>
      </c>
      <c r="AB13" s="587" t="s">
        <v>10</v>
      </c>
      <c r="AC13" s="1573">
        <f>'3.XT-C KH'!AC13</f>
        <v>0</v>
      </c>
      <c r="AD13" s="910" t="s">
        <v>8</v>
      </c>
      <c r="AE13" s="1586" t="str">
        <f>IF(AC12=0,"",AE12/25*8)</f>
        <v/>
      </c>
      <c r="AF13" s="911" t="s">
        <v>10</v>
      </c>
      <c r="AG13" s="2385"/>
      <c r="AI13" s="1575">
        <v>6</v>
      </c>
      <c r="AJ13" s="3306" t="s">
        <v>120</v>
      </c>
      <c r="AK13" s="3307"/>
      <c r="AL13" s="3307"/>
      <c r="AM13" s="3308"/>
      <c r="AN13" s="2050" t="s">
        <v>26</v>
      </c>
      <c r="AO13" s="2051" t="str">
        <f>'XM.GUI MAIL'!$E$118</f>
        <v>20~30</v>
      </c>
      <c r="AP13" s="2219" t="str">
        <f>'XM.GUI MAIL'!$F$118</f>
        <v>(25±5)</v>
      </c>
      <c r="AQ13" s="3309">
        <f>'XM.FILE GOC'!I118</f>
        <v>0</v>
      </c>
      <c r="AR13" s="3108"/>
      <c r="AS13" s="3107">
        <f>'XM.FILE GOC'!L118</f>
        <v>0</v>
      </c>
      <c r="AT13" s="3313"/>
      <c r="AU13" s="2178"/>
      <c r="AV13" s="924"/>
      <c r="AW13" s="924"/>
      <c r="AX13" s="925"/>
      <c r="AY13" s="3107">
        <f>'XM.FILE GOC'!P118</f>
        <v>0</v>
      </c>
      <c r="AZ13" s="3108"/>
      <c r="BA13" s="3107">
        <f>'XM.FILE GOC'!S118</f>
        <v>0</v>
      </c>
      <c r="BB13" s="3313"/>
      <c r="BC13" s="2178"/>
      <c r="BD13" s="924"/>
      <c r="BE13" s="924"/>
      <c r="BF13" s="925"/>
      <c r="BG13" s="3107">
        <f>'XM.FILE GOC'!W118</f>
        <v>0</v>
      </c>
      <c r="BH13" s="3108"/>
      <c r="BI13" s="3283">
        <f>'XM.FILE GOC'!Z118</f>
        <v>0</v>
      </c>
      <c r="BJ13" s="3283"/>
      <c r="BK13" s="924"/>
      <c r="BL13" s="924"/>
      <c r="BM13" s="924"/>
      <c r="BN13" s="925"/>
      <c r="BO13" s="2669"/>
    </row>
    <row r="14" spans="1:67" ht="46.5" customHeight="1">
      <c r="A14" s="3249">
        <v>5</v>
      </c>
      <c r="B14" s="3274" t="s">
        <v>944</v>
      </c>
      <c r="C14" s="3268" t="s">
        <v>945</v>
      </c>
      <c r="D14" s="3269"/>
      <c r="E14" s="3270"/>
      <c r="F14" s="2827" t="s">
        <v>4</v>
      </c>
      <c r="G14" s="2010" t="str">
        <f>'XM.FILE GOC'!$E$86</f>
        <v>135~ 145</v>
      </c>
      <c r="H14" s="2828" t="str">
        <f>'XM.FILE GOC'!$F$86</f>
        <v>(140±5)</v>
      </c>
      <c r="I14" s="2207">
        <f>'XM.FILE GOC'!I86</f>
        <v>142.4</v>
      </c>
      <c r="J14" s="969" t="s">
        <v>8</v>
      </c>
      <c r="K14" s="970">
        <f>'XM.FILE GOC'!L86</f>
        <v>0</v>
      </c>
      <c r="L14" s="971" t="s">
        <v>9</v>
      </c>
      <c r="M14" s="1573">
        <f>'3.XT-C KH'!M14</f>
        <v>0</v>
      </c>
      <c r="N14" s="908" t="s">
        <v>8</v>
      </c>
      <c r="O14" s="1589" t="str">
        <f>IF(M14=0,"",('XM.FILE GOC'!$G$86-M14)*53066/1000)</f>
        <v/>
      </c>
      <c r="P14" s="909" t="s">
        <v>9</v>
      </c>
      <c r="Q14" s="2207">
        <f>'XM.FILE GOC'!P86</f>
        <v>143.19999999999999</v>
      </c>
      <c r="R14" s="969" t="s">
        <v>8</v>
      </c>
      <c r="S14" s="970">
        <f>'XM.FILE GOC'!S86</f>
        <v>0</v>
      </c>
      <c r="T14" s="971" t="s">
        <v>9</v>
      </c>
      <c r="U14" s="1573">
        <f>'3.XT-C KH'!U14</f>
        <v>0</v>
      </c>
      <c r="V14" s="908" t="s">
        <v>8</v>
      </c>
      <c r="W14" s="1589" t="str">
        <f>IF(U14=0,"",('XM.FILE GOC'!$G$86-U14)*53066/1000)</f>
        <v/>
      </c>
      <c r="X14" s="909" t="s">
        <v>9</v>
      </c>
      <c r="Y14" s="2207">
        <f>'XM.FILE GOC'!W86</f>
        <v>138.80000000000001</v>
      </c>
      <c r="Z14" s="969" t="s">
        <v>8</v>
      </c>
      <c r="AA14" s="970">
        <f>'XM.FILE GOC'!Z86</f>
        <v>63.679199999999391</v>
      </c>
      <c r="AB14" s="971" t="s">
        <v>9</v>
      </c>
      <c r="AC14" s="1573">
        <f>'3.XT-C KH'!AC14</f>
        <v>140</v>
      </c>
      <c r="AD14" s="908" t="s">
        <v>8</v>
      </c>
      <c r="AE14" s="1589">
        <f>IF(AC14=0,"",('XM.FILE GOC'!$G$86-AC14)*53066/1000)</f>
        <v>0</v>
      </c>
      <c r="AF14" s="909" t="s">
        <v>9</v>
      </c>
      <c r="AG14" s="2385" t="s">
        <v>40</v>
      </c>
      <c r="AI14" s="977"/>
      <c r="AJ14" s="898"/>
      <c r="AK14" s="898"/>
      <c r="AL14" s="898"/>
      <c r="AM14" s="898"/>
      <c r="AN14" s="978"/>
      <c r="AO14" s="978"/>
      <c r="AP14" s="978"/>
      <c r="AQ14" s="978"/>
      <c r="AR14" s="978"/>
      <c r="AS14" s="978"/>
      <c r="AT14" s="978"/>
      <c r="AU14" s="943"/>
      <c r="AV14" s="943"/>
      <c r="AW14" s="943"/>
      <c r="AX14" s="943"/>
      <c r="AY14" s="978"/>
      <c r="AZ14" s="978"/>
      <c r="BA14" s="978"/>
      <c r="BB14" s="978"/>
      <c r="BC14" s="943"/>
      <c r="BD14" s="943"/>
      <c r="BE14" s="943"/>
      <c r="BF14" s="943"/>
      <c r="BG14" s="978"/>
      <c r="BH14" s="978"/>
      <c r="BI14" s="978"/>
      <c r="BJ14" s="978"/>
      <c r="BK14" s="943"/>
      <c r="BL14" s="943"/>
      <c r="BM14" s="943"/>
      <c r="BN14" s="943"/>
      <c r="BO14" s="61"/>
    </row>
    <row r="15" spans="1:67" ht="46.5" customHeight="1">
      <c r="A15" s="3255"/>
      <c r="B15" s="3917"/>
      <c r="C15" s="3918" t="s">
        <v>946</v>
      </c>
      <c r="D15" s="3919"/>
      <c r="E15" s="3920"/>
      <c r="F15" s="2852" t="s">
        <v>4</v>
      </c>
      <c r="G15" s="2853" t="str">
        <f>'XM.FILE GOC'!$E$87</f>
        <v>7~10</v>
      </c>
      <c r="H15" s="2854" t="str">
        <f>'XM.FILE GOC'!$F$87</f>
        <v>(8.5±1)</v>
      </c>
      <c r="I15" s="2273">
        <f>'XM.FILE GOC'!I87</f>
        <v>8.3849999999999998</v>
      </c>
      <c r="J15" s="2274" t="s">
        <v>8</v>
      </c>
      <c r="K15" s="2275">
        <f>'XM.FILE GOC'!L87</f>
        <v>6.1025900000000108</v>
      </c>
      <c r="L15" s="2276" t="s">
        <v>9</v>
      </c>
      <c r="M15" s="2102">
        <f>'3.XT-C KH'!M15</f>
        <v>8.4</v>
      </c>
      <c r="N15" s="2277" t="s">
        <v>8</v>
      </c>
      <c r="O15" s="2278">
        <f>IF(M15=0,"",('XM.FILE GOC'!$G$87-M15)*53066/1000)</f>
        <v>5.3065999999999809</v>
      </c>
      <c r="P15" s="2279" t="s">
        <v>9</v>
      </c>
      <c r="Q15" s="2273">
        <f>'XM.FILE GOC'!P87</f>
        <v>8.3849999999999998</v>
      </c>
      <c r="R15" s="2274" t="s">
        <v>8</v>
      </c>
      <c r="S15" s="2275">
        <f>'XM.FILE GOC'!S87</f>
        <v>6.1025900000000108</v>
      </c>
      <c r="T15" s="2276" t="s">
        <v>9</v>
      </c>
      <c r="U15" s="2102">
        <f>'3.XT-C KH'!U15</f>
        <v>8.5</v>
      </c>
      <c r="V15" s="2277" t="s">
        <v>8</v>
      </c>
      <c r="W15" s="2278">
        <f>IF(U15=0,"",('XM.FILE GOC'!$G$87-U15)*53066/1000)</f>
        <v>0</v>
      </c>
      <c r="X15" s="2279" t="s">
        <v>9</v>
      </c>
      <c r="Y15" s="2273">
        <f>'XM.FILE GOC'!W87</f>
        <v>8.4500000000000011</v>
      </c>
      <c r="Z15" s="2274" t="s">
        <v>8</v>
      </c>
      <c r="AA15" s="2275">
        <f>'XM.FILE GOC'!Z87</f>
        <v>2.6532999999999434</v>
      </c>
      <c r="AB15" s="2279" t="s">
        <v>9</v>
      </c>
      <c r="AC15" s="2102">
        <f>'3.XT-C KH'!AC15</f>
        <v>8.6</v>
      </c>
      <c r="AD15" s="2277" t="s">
        <v>8</v>
      </c>
      <c r="AE15" s="2278">
        <f>IF(AC15=0,"",('XM.FILE GOC'!$G$87-AC15)*53066/1000)</f>
        <v>-5.3065999999999809</v>
      </c>
      <c r="AF15" s="2279" t="s">
        <v>9</v>
      </c>
      <c r="AG15" s="2384" t="s">
        <v>41</v>
      </c>
    </row>
    <row r="16" spans="1:67" s="7" customFormat="1" ht="46.5" customHeight="1">
      <c r="A16" s="3921">
        <v>6</v>
      </c>
      <c r="B16" s="3258" t="s">
        <v>37</v>
      </c>
      <c r="C16" s="3259"/>
      <c r="D16" s="3259"/>
      <c r="E16" s="3262"/>
      <c r="F16" s="2827" t="s">
        <v>3</v>
      </c>
      <c r="G16" s="2010" t="str">
        <f>'XM.FILE GOC'!$E$88</f>
        <v>5~8</v>
      </c>
      <c r="H16" s="2828" t="str">
        <f>'XM.FILE GOC'!$F$88</f>
        <v>(6±1)</v>
      </c>
      <c r="I16" s="2209">
        <f>'XM.FILE GOC'!I88</f>
        <v>6.7287950000000007</v>
      </c>
      <c r="J16" s="969"/>
      <c r="K16" s="970">
        <f>'XM.FILE GOC'!L88</f>
        <v>0</v>
      </c>
      <c r="L16" s="971" t="s">
        <v>10</v>
      </c>
      <c r="M16" s="1573">
        <f>'3.XT-C KH'!M16</f>
        <v>0</v>
      </c>
      <c r="N16" s="910" t="s">
        <v>8</v>
      </c>
      <c r="O16" s="1588" t="str">
        <f>IF(M16=0,"",('XM.FILE GOC'!$G$88-M16)*3360/85)</f>
        <v/>
      </c>
      <c r="P16" s="911" t="s">
        <v>10</v>
      </c>
      <c r="Q16" s="594">
        <f>'XM.FILE GOC'!P88</f>
        <v>6.6864250000000007</v>
      </c>
      <c r="R16" s="969"/>
      <c r="S16" s="970">
        <f>'XM.FILE GOC'!S88</f>
        <v>0</v>
      </c>
      <c r="T16" s="971" t="s">
        <v>10</v>
      </c>
      <c r="U16" s="1573">
        <f>'3.XT-C KH'!U16</f>
        <v>0</v>
      </c>
      <c r="V16" s="910" t="s">
        <v>8</v>
      </c>
      <c r="W16" s="1588" t="str">
        <f>IF(U16=0,"",('XM.FILE GOC'!$G$88-U16)*3360/85)</f>
        <v/>
      </c>
      <c r="X16" s="911" t="s">
        <v>10</v>
      </c>
      <c r="Y16" s="594">
        <f>'XM.FILE GOC'!W88</f>
        <v>6.6228700000000007</v>
      </c>
      <c r="Z16" s="969"/>
      <c r="AA16" s="970">
        <f>'XM.FILE GOC'!Z88</f>
        <v>0</v>
      </c>
      <c r="AB16" s="971" t="s">
        <v>10</v>
      </c>
      <c r="AC16" s="907">
        <f>'3.XT-C KH'!AC16</f>
        <v>0</v>
      </c>
      <c r="AD16" s="910" t="s">
        <v>8</v>
      </c>
      <c r="AE16" s="1588" t="str">
        <f>IF(AC16=0,"",('XM.FILE GOC'!$G$88-AC16)*3360/85)</f>
        <v/>
      </c>
      <c r="AF16" s="911" t="s">
        <v>10</v>
      </c>
      <c r="AG16" s="2294" t="s">
        <v>42</v>
      </c>
      <c r="AI16" s="979"/>
      <c r="AJ16" s="980"/>
      <c r="AK16" s="980"/>
      <c r="AL16" s="980"/>
      <c r="AM16" s="980"/>
      <c r="AN16" s="981"/>
      <c r="AO16" s="981"/>
      <c r="AP16" s="981"/>
      <c r="AQ16" s="981"/>
      <c r="AR16" s="981"/>
      <c r="AS16" s="981"/>
      <c r="AT16" s="981"/>
      <c r="AU16" s="944"/>
      <c r="AV16" s="944"/>
      <c r="AW16" s="944"/>
      <c r="AX16" s="944"/>
      <c r="AY16" s="981"/>
      <c r="AZ16" s="981"/>
      <c r="BA16" s="981"/>
      <c r="BB16" s="981"/>
      <c r="BC16" s="944"/>
      <c r="BD16" s="944"/>
      <c r="BE16" s="944"/>
      <c r="BF16" s="944"/>
      <c r="BG16" s="981"/>
      <c r="BH16" s="981"/>
      <c r="BI16" s="981"/>
      <c r="BJ16" s="981"/>
      <c r="BK16" s="944"/>
      <c r="BL16" s="944"/>
      <c r="BM16" s="944"/>
      <c r="BN16" s="944"/>
      <c r="BO16" s="8"/>
    </row>
    <row r="17" spans="1:67" ht="43.5" customHeight="1">
      <c r="A17" s="3922"/>
      <c r="B17" s="3923"/>
      <c r="C17" s="3924"/>
      <c r="D17" s="3924"/>
      <c r="E17" s="3925"/>
      <c r="F17" s="2827" t="s">
        <v>5</v>
      </c>
      <c r="G17" s="2010" t="str">
        <f>'XM.FILE GOC'!$E$89</f>
        <v>2.0~2.4</v>
      </c>
      <c r="H17" s="2828" t="str">
        <f>'XM.FILE GOC'!$F$89</f>
        <v>(2.2±0.1)</v>
      </c>
      <c r="I17" s="2230">
        <f>'XM.FILE GOC'!I89</f>
        <v>2.11</v>
      </c>
      <c r="J17" s="1369"/>
      <c r="K17" s="1370"/>
      <c r="L17" s="1371"/>
      <c r="M17" s="1573"/>
      <c r="N17" s="912"/>
      <c r="O17" s="935"/>
      <c r="P17" s="913"/>
      <c r="Q17" s="2228">
        <f>'XM.FILE GOC'!P89</f>
        <v>2.1</v>
      </c>
      <c r="R17" s="1369"/>
      <c r="S17" s="1370"/>
      <c r="T17" s="1371"/>
      <c r="U17" s="1573"/>
      <c r="V17" s="912"/>
      <c r="W17" s="935"/>
      <c r="X17" s="913"/>
      <c r="Y17" s="2228">
        <f>'XM.FILE GOC'!W89</f>
        <v>2.14</v>
      </c>
      <c r="Z17" s="969"/>
      <c r="AA17" s="970"/>
      <c r="AB17" s="971"/>
      <c r="AC17" s="907"/>
      <c r="AD17" s="912"/>
      <c r="AE17" s="935"/>
      <c r="AF17" s="913"/>
      <c r="AG17" s="2310"/>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36.75" customHeight="1">
      <c r="A18" s="2448"/>
      <c r="B18" s="3264" t="s">
        <v>81</v>
      </c>
      <c r="C18" s="3265"/>
      <c r="D18" s="3265"/>
      <c r="E18" s="3266"/>
      <c r="F18" s="632" t="s">
        <v>6</v>
      </c>
      <c r="G18" s="897" t="str">
        <f>'XM.FILE GOC'!$E$90</f>
        <v>40~50</v>
      </c>
      <c r="H18" s="2202" t="str">
        <f>'XM.FILE GOC'!$F$90</f>
        <v>(45±5)</v>
      </c>
      <c r="I18" s="1747">
        <f>'XM.FILE GOC'!I90</f>
        <v>0.44500000000000001</v>
      </c>
      <c r="J18" s="969" t="s">
        <v>8</v>
      </c>
      <c r="K18" s="970">
        <f>'XM.FILE GOC'!L90</f>
        <v>16.170000000000016</v>
      </c>
      <c r="L18" s="971" t="s">
        <v>10</v>
      </c>
      <c r="M18" s="914">
        <f>IF(I18&gt;44.99%,"",'3.XT-C KH'!M18)</f>
        <v>0.45500000000000002</v>
      </c>
      <c r="N18" s="908" t="s">
        <v>8</v>
      </c>
      <c r="O18" s="935">
        <f>IF(M18="","",('XM.FILE GOC'!$G$90-M18)*3234)</f>
        <v>-16.170000000000016</v>
      </c>
      <c r="P18" s="909" t="s">
        <v>10</v>
      </c>
      <c r="Q18" s="1747">
        <f>'XM.FILE GOC'!P90</f>
        <v>0.45624999999999999</v>
      </c>
      <c r="R18" s="969" t="s">
        <v>8</v>
      </c>
      <c r="S18" s="970">
        <f>'XM.FILE GOC'!S91</f>
        <v>0</v>
      </c>
      <c r="T18" s="971" t="s">
        <v>10</v>
      </c>
      <c r="U18" s="914" t="str">
        <f>IF(Q18&gt;44.99%,"",'3.XT-C KH'!U18)</f>
        <v/>
      </c>
      <c r="V18" s="908" t="s">
        <v>8</v>
      </c>
      <c r="W18" s="935" t="str">
        <f>IF(U18="","",('XM.FILE GOC'!$G$90-U18)*3234)</f>
        <v/>
      </c>
      <c r="X18" s="909" t="s">
        <v>10</v>
      </c>
      <c r="Y18" s="1747">
        <f>'XM.FILE GOC'!W90</f>
        <v>0.49274999999999997</v>
      </c>
      <c r="Z18" s="969" t="s">
        <v>8</v>
      </c>
      <c r="AA18" s="970">
        <f>'XM.FILE GOC'!Z91</f>
        <v>13.444000000000011</v>
      </c>
      <c r="AB18" s="971" t="s">
        <v>10</v>
      </c>
      <c r="AC18" s="914" t="str">
        <f>IF(Y18&gt;44.99%,"",'3.XT-C KH'!AC18)</f>
        <v/>
      </c>
      <c r="AD18" s="908" t="s">
        <v>8</v>
      </c>
      <c r="AE18" s="935" t="str">
        <f>IF(AC18="","",('XM.FILE GOC'!$G$90-AC18)*3234)</f>
        <v/>
      </c>
      <c r="AF18" s="909" t="s">
        <v>10</v>
      </c>
      <c r="AG18" s="2450"/>
    </row>
    <row r="19" spans="1:67" ht="35.25" customHeight="1">
      <c r="A19" s="2392">
        <v>7</v>
      </c>
      <c r="B19" s="3239" t="s">
        <v>1583</v>
      </c>
      <c r="C19" s="3240"/>
      <c r="D19" s="3240"/>
      <c r="E19" s="3241"/>
      <c r="F19" s="632" t="s">
        <v>6</v>
      </c>
      <c r="G19" s="897" t="str">
        <f>'XM.FILE GOC'!$E$91</f>
        <v>10~20</v>
      </c>
      <c r="H19" s="2202" t="str">
        <f>'XM.FILE GOC'!$F$91</f>
        <v>(15±5)</v>
      </c>
      <c r="I19" s="2714">
        <f>'XM.FILE GOC'!I91</f>
        <v>0.156</v>
      </c>
      <c r="J19" s="969" t="s">
        <v>8</v>
      </c>
      <c r="K19" s="970">
        <f>'XM.FILE GOC'!L91</f>
        <v>0</v>
      </c>
      <c r="L19" s="971" t="s">
        <v>10</v>
      </c>
      <c r="M19" s="914" t="str">
        <f>IF(I19&gt;7.99%,"",'3.XT-C KH'!M19)</f>
        <v/>
      </c>
      <c r="N19" s="908" t="s">
        <v>8</v>
      </c>
      <c r="O19" s="1588" t="str">
        <f>IF(M19="","",('XM.FILE GOC'!$G$91-M19)*3361)</f>
        <v/>
      </c>
      <c r="P19" s="909" t="s">
        <v>10</v>
      </c>
      <c r="Q19" s="2714">
        <f>'XM.FILE GOC'!P91</f>
        <v>0.152</v>
      </c>
      <c r="R19" s="969" t="s">
        <v>8</v>
      </c>
      <c r="S19" s="970">
        <f>'XM.FILE GOC'!S91</f>
        <v>0</v>
      </c>
      <c r="T19" s="971" t="s">
        <v>10</v>
      </c>
      <c r="U19" s="914" t="str">
        <f>IF(Q19&gt;7.99%,"",'3.XT-C KH'!U19)</f>
        <v/>
      </c>
      <c r="V19" s="908" t="s">
        <v>8</v>
      </c>
      <c r="W19" s="1588" t="str">
        <f>IF(U19="","",('XM.FILE GOC'!$G$91-U19)*3361)</f>
        <v/>
      </c>
      <c r="X19" s="909" t="s">
        <v>10</v>
      </c>
      <c r="Y19" s="2714">
        <f>'XM.FILE GOC'!W91</f>
        <v>0.14599999999999999</v>
      </c>
      <c r="Z19" s="969" t="s">
        <v>8</v>
      </c>
      <c r="AA19" s="970">
        <f>'XM.FILE GOC'!Z91</f>
        <v>13.444000000000011</v>
      </c>
      <c r="AB19" s="971" t="s">
        <v>10</v>
      </c>
      <c r="AC19" s="914" t="str">
        <f>IF(Y19&gt;7.99%,"",'3.XT-C KH'!AC19)</f>
        <v/>
      </c>
      <c r="AD19" s="908" t="s">
        <v>8</v>
      </c>
      <c r="AE19" s="1588" t="str">
        <f>IF(AC19="","",('XM.FILE GOC'!$G$91-AC19)*3361)</f>
        <v/>
      </c>
      <c r="AF19" s="909" t="s">
        <v>10</v>
      </c>
      <c r="AG19" s="2396" t="s">
        <v>43</v>
      </c>
    </row>
    <row r="20" spans="1:67" ht="46.5" customHeight="1">
      <c r="A20" s="2447"/>
      <c r="B20" s="3239" t="s">
        <v>1584</v>
      </c>
      <c r="C20" s="3240"/>
      <c r="D20" s="3240"/>
      <c r="E20" s="3241"/>
      <c r="F20" s="632" t="s">
        <v>6</v>
      </c>
      <c r="G20" s="897" t="str">
        <f>'XM.FILE GOC'!$E$92</f>
        <v>40~50</v>
      </c>
      <c r="H20" s="2202" t="str">
        <f>'XM.FILE GOC'!$F$92</f>
        <v>(45±5)</v>
      </c>
      <c r="I20" s="1747">
        <f>'XM.FILE GOC'!I92</f>
        <v>0.44712499999999994</v>
      </c>
      <c r="J20" s="969" t="s">
        <v>8</v>
      </c>
      <c r="K20" s="970">
        <f>'XM.FILE GOC'!L92</f>
        <v>9.6628750000002412</v>
      </c>
      <c r="L20" s="971" t="s">
        <v>10</v>
      </c>
      <c r="M20" s="914">
        <f>IF(I20&gt;44.99%,"",'3.XT-C KH'!M20)</f>
        <v>0.46500000000000002</v>
      </c>
      <c r="N20" s="908" t="s">
        <v>8</v>
      </c>
      <c r="O20" s="1588">
        <f>IF(M20="","",('XM.FILE GOC'!$G$92-M20)*3361)</f>
        <v>-50.415000000000042</v>
      </c>
      <c r="P20" s="909" t="s">
        <v>10</v>
      </c>
      <c r="Q20" s="1747">
        <f>'XM.FILE GOC'!P92</f>
        <v>0.46993750000000001</v>
      </c>
      <c r="R20" s="969" t="s">
        <v>8</v>
      </c>
      <c r="S20" s="970">
        <f>'XM.FILE GOC'!S92</f>
        <v>0</v>
      </c>
      <c r="T20" s="971" t="s">
        <v>10</v>
      </c>
      <c r="U20" s="914" t="str">
        <f>IF(Q20&gt;44.99%,"",'3.XT-C KH'!U20)</f>
        <v/>
      </c>
      <c r="V20" s="908" t="s">
        <v>8</v>
      </c>
      <c r="W20" s="1588" t="str">
        <f>IF(U20="","",('XM.FILE GOC'!$G$92-U20)*3361)</f>
        <v/>
      </c>
      <c r="X20" s="909" t="s">
        <v>10</v>
      </c>
      <c r="Y20" s="1747">
        <f>'XM.FILE GOC'!W92</f>
        <v>0.48362500000000003</v>
      </c>
      <c r="Z20" s="969" t="s">
        <v>8</v>
      </c>
      <c r="AA20" s="970">
        <f>'XM.FILE GOC'!Z92</f>
        <v>0</v>
      </c>
      <c r="AB20" s="971" t="s">
        <v>10</v>
      </c>
      <c r="AC20" s="914" t="str">
        <f>IF(Y20&gt;44.99%,"",'3.XT-C KH'!AC20)</f>
        <v/>
      </c>
      <c r="AD20" s="908" t="s">
        <v>8</v>
      </c>
      <c r="AE20" s="1588" t="str">
        <f>IF(AC20="","",('XM.FILE GOC'!$G$92-AC20)*3361)</f>
        <v/>
      </c>
      <c r="AF20" s="909" t="s">
        <v>10</v>
      </c>
      <c r="AG20" s="2451"/>
    </row>
    <row r="21" spans="1:67" ht="46.5" customHeight="1">
      <c r="A21" s="2392">
        <v>8</v>
      </c>
      <c r="B21" s="3236" t="s">
        <v>1585</v>
      </c>
      <c r="C21" s="3237"/>
      <c r="D21" s="3237"/>
      <c r="E21" s="3238"/>
      <c r="F21" s="632" t="s">
        <v>6</v>
      </c>
      <c r="G21" s="897" t="str">
        <f>'XM.FILE GOC'!$E$93</f>
        <v>40~50</v>
      </c>
      <c r="H21" s="2202" t="str">
        <f>'XM.FILE GOC'!$F$93</f>
        <v>(45±5)</v>
      </c>
      <c r="I21" s="1747">
        <f>'XM.FILE GOC'!I93</f>
        <v>0.45168749999999996</v>
      </c>
      <c r="J21" s="969" t="s">
        <v>8</v>
      </c>
      <c r="K21" s="970">
        <f>'XM.FILE GOC'!L93</f>
        <v>0</v>
      </c>
      <c r="L21" s="971" t="s">
        <v>10</v>
      </c>
      <c r="M21" s="914" t="str">
        <f>IF(I21&gt;44.99%,"",'3.XT-C KH'!M21)</f>
        <v/>
      </c>
      <c r="N21" s="910" t="s">
        <v>8</v>
      </c>
      <c r="O21" s="1588" t="str">
        <f>IF(M21="","",('XM.FILE GOC'!$G$93-M21)*10509)</f>
        <v/>
      </c>
      <c r="P21" s="911" t="s">
        <v>10</v>
      </c>
      <c r="Q21" s="1747">
        <f>'XM.FILE GOC'!P93</f>
        <v>0.45624999999999999</v>
      </c>
      <c r="R21" s="969" t="s">
        <v>8</v>
      </c>
      <c r="S21" s="970">
        <f>'XM.FILE GOC'!S93</f>
        <v>0</v>
      </c>
      <c r="T21" s="971" t="s">
        <v>10</v>
      </c>
      <c r="U21" s="914" t="str">
        <f>IF(Q21&gt;44.99%,"",'3.XT-C KH'!U21)</f>
        <v/>
      </c>
      <c r="V21" s="910" t="s">
        <v>8</v>
      </c>
      <c r="W21" s="1588" t="str">
        <f>IF(U21="","",('XM.FILE GOC'!$G$93-U21)*10509)</f>
        <v/>
      </c>
      <c r="X21" s="911" t="s">
        <v>10</v>
      </c>
      <c r="Y21" s="1747">
        <f>'XM.FILE GOC'!W93</f>
        <v>0.45624999999999999</v>
      </c>
      <c r="Z21" s="969" t="s">
        <v>8</v>
      </c>
      <c r="AA21" s="970">
        <f>'XM.FILE GOC'!Z93</f>
        <v>0</v>
      </c>
      <c r="AB21" s="971" t="s">
        <v>10</v>
      </c>
      <c r="AC21" s="914" t="str">
        <f>IF(Y21&gt;44.99%,"",'3.XT-C KH'!AC21)</f>
        <v/>
      </c>
      <c r="AD21" s="910" t="s">
        <v>8</v>
      </c>
      <c r="AE21" s="1588" t="str">
        <f>IF(AC21="","",('XM.FILE GOC'!$G$93-AC21)*10509)</f>
        <v/>
      </c>
      <c r="AF21" s="911" t="s">
        <v>10</v>
      </c>
      <c r="AG21" s="68" t="s">
        <v>43</v>
      </c>
    </row>
    <row r="22" spans="1:67" ht="46.5" customHeight="1">
      <c r="A22" s="2392">
        <v>10</v>
      </c>
      <c r="B22" s="3264" t="s">
        <v>947</v>
      </c>
      <c r="C22" s="3265" t="s">
        <v>947</v>
      </c>
      <c r="D22" s="3265" t="s">
        <v>947</v>
      </c>
      <c r="E22" s="3266" t="s">
        <v>947</v>
      </c>
      <c r="F22" s="632" t="s">
        <v>6</v>
      </c>
      <c r="G22" s="897" t="str">
        <f>'XM.FILE GOC'!$E$94</f>
        <v>0.5~1.0</v>
      </c>
      <c r="H22" s="2202" t="str">
        <f>'XM.FILE GOC'!$F$94</f>
        <v>(0.7±0.1)</v>
      </c>
      <c r="I22" s="2210">
        <f>'XM.FILE GOC'!I94</f>
        <v>7.4340000000000005E-3</v>
      </c>
      <c r="J22" s="969" t="s">
        <v>8</v>
      </c>
      <c r="K22" s="973">
        <f>'XM.FILE GOC'!L94</f>
        <v>0</v>
      </c>
      <c r="L22" s="974" t="s">
        <v>10</v>
      </c>
      <c r="M22" s="2399">
        <f>IF(I22&gt;0.99%,"",'3.XT-C KH'!M22)</f>
        <v>0</v>
      </c>
      <c r="N22" s="2277" t="s">
        <v>8</v>
      </c>
      <c r="O22" s="2400">
        <f>IF(M22="","",('XM.FILE GOC'!$G$94-M22)*2808)</f>
        <v>19.655999999999999</v>
      </c>
      <c r="P22" s="2279" t="s">
        <v>10</v>
      </c>
      <c r="Q22" s="2210">
        <f>'XM.FILE GOC'!P94</f>
        <v>7.0559999999999998E-3</v>
      </c>
      <c r="R22" s="969" t="s">
        <v>8</v>
      </c>
      <c r="S22" s="973">
        <f>'XM.FILE GOC'!S94</f>
        <v>0</v>
      </c>
      <c r="T22" s="974" t="s">
        <v>10</v>
      </c>
      <c r="U22" s="2399">
        <f>IF(Q22&gt;0.99%,"",'3.XT-C KH'!U22)</f>
        <v>0</v>
      </c>
      <c r="V22" s="2277" t="s">
        <v>8</v>
      </c>
      <c r="W22" s="2400">
        <f>IF(U22="","",('XM.FILE GOC'!$G$94-U22)*2808)</f>
        <v>19.655999999999999</v>
      </c>
      <c r="X22" s="2279" t="s">
        <v>10</v>
      </c>
      <c r="Y22" s="2210">
        <f>'XM.FILE GOC'!W94</f>
        <v>7.3080000000000003E-3</v>
      </c>
      <c r="Z22" s="969" t="s">
        <v>8</v>
      </c>
      <c r="AA22" s="973">
        <f>'XM.FILE GOC'!Z94</f>
        <v>0</v>
      </c>
      <c r="AB22" s="974" t="s">
        <v>10</v>
      </c>
      <c r="AC22" s="2399">
        <f>IF(Y22&gt;0.99%,"",'3.XT-C KH'!AC22)</f>
        <v>0</v>
      </c>
      <c r="AD22" s="2277" t="s">
        <v>8</v>
      </c>
      <c r="AE22" s="2400">
        <f>IF(AC22="","",('XM.FILE GOC'!$G$94-AC22)*2808)</f>
        <v>19.655999999999999</v>
      </c>
      <c r="AF22" s="2279" t="s">
        <v>10</v>
      </c>
      <c r="AG22" s="2385" t="s">
        <v>44</v>
      </c>
    </row>
    <row r="23" spans="1:67" ht="46.5" customHeight="1">
      <c r="A23" s="2392">
        <v>11</v>
      </c>
      <c r="B23" s="3230" t="s">
        <v>73</v>
      </c>
      <c r="C23" s="3231"/>
      <c r="D23" s="3231"/>
      <c r="E23" s="3232"/>
      <c r="F23" s="2829" t="s">
        <v>3</v>
      </c>
      <c r="G23" s="2010" t="str">
        <f>'XM.GUI MAIL'!$E$95</f>
        <v>5~8</v>
      </c>
      <c r="H23" s="2828" t="str">
        <f>'XM.GUI MAIL'!$F$95</f>
        <v>(6±0.5)</v>
      </c>
      <c r="I23" s="1833">
        <f>'XM.FILE GOC'!I95</f>
        <v>5.76</v>
      </c>
      <c r="J23" s="969" t="s">
        <v>8</v>
      </c>
      <c r="K23" s="970">
        <f>'XM.FILE GOC'!L95</f>
        <v>8.9860042105263229</v>
      </c>
      <c r="L23" s="974" t="s">
        <v>10</v>
      </c>
      <c r="M23" s="2236">
        <f>IF(I23&gt;5.99,"",'3.XT-C KH'!M23)</f>
        <v>5.8</v>
      </c>
      <c r="N23" s="908" t="s">
        <v>8</v>
      </c>
      <c r="O23" s="935">
        <f>IF(M23="","",('XM.FILE GOC'!$G$95-M23)*4042/95*1.028)</f>
        <v>8.7477389473684308</v>
      </c>
      <c r="P23" s="909" t="s">
        <v>10</v>
      </c>
      <c r="Q23" s="1833">
        <f>'XM.FILE GOC'!P95</f>
        <v>5.85</v>
      </c>
      <c r="R23" s="969" t="s">
        <v>8</v>
      </c>
      <c r="S23" s="970">
        <f>'XM.FILE GOC'!S95</f>
        <v>5.6162526315789609</v>
      </c>
      <c r="T23" s="974" t="s">
        <v>10</v>
      </c>
      <c r="U23" s="2236">
        <f>IF(Q23&gt;5.99,"",'3.XT-C KH'!U23)</f>
        <v>6</v>
      </c>
      <c r="V23" s="908" t="s">
        <v>8</v>
      </c>
      <c r="W23" s="935">
        <f>IF(U23="","",('XM.FILE GOC'!$G$95-U23)*4042/95*1.028)</f>
        <v>0</v>
      </c>
      <c r="X23" s="909" t="s">
        <v>10</v>
      </c>
      <c r="Y23" s="1833">
        <f>'XM.FILE GOC'!W95</f>
        <v>6</v>
      </c>
      <c r="Z23" s="969" t="s">
        <v>8</v>
      </c>
      <c r="AA23" s="970">
        <f>'XM.FILE GOC'!Z95</f>
        <v>0</v>
      </c>
      <c r="AB23" s="974" t="s">
        <v>10</v>
      </c>
      <c r="AC23" s="2236" t="str">
        <f>IF(Y23&gt;5.99,"",'3.XT-C KH'!AC23)</f>
        <v/>
      </c>
      <c r="AD23" s="908" t="s">
        <v>8</v>
      </c>
      <c r="AE23" s="935" t="str">
        <f>IF(AC23="","",('XM.FILE GOC'!$G$95-AC23)*4042/95*1.028)</f>
        <v/>
      </c>
      <c r="AF23" s="909" t="s">
        <v>10</v>
      </c>
      <c r="AG23" s="2383"/>
    </row>
    <row r="24" spans="1:67" ht="42.75" customHeight="1">
      <c r="A24" s="2392">
        <v>12</v>
      </c>
      <c r="B24" s="3233"/>
      <c r="C24" s="3234"/>
      <c r="D24" s="3234"/>
      <c r="E24" s="3235"/>
      <c r="F24" s="2829" t="s">
        <v>5</v>
      </c>
      <c r="G24" s="2010" t="str">
        <f>'XM.GUI MAIL'!$E$96</f>
        <v>1.8~2.4</v>
      </c>
      <c r="H24" s="2828" t="str">
        <f>'XM.GUI MAIL'!$F$96</f>
        <v>(2.1±0.1)</v>
      </c>
      <c r="I24" s="1761">
        <f>'XM.FILE GOC'!I96</f>
        <v>2.0299999999999998</v>
      </c>
      <c r="J24" s="969" t="s">
        <v>8</v>
      </c>
      <c r="K24" s="973">
        <f>'XM.FILE GOC'!L96</f>
        <v>0</v>
      </c>
      <c r="L24" s="974" t="s">
        <v>10</v>
      </c>
      <c r="M24" s="915"/>
      <c r="N24" s="946"/>
      <c r="O24" s="1590"/>
      <c r="P24" s="916"/>
      <c r="Q24" s="1761">
        <f>'XM.FILE GOC'!P96</f>
        <v>2</v>
      </c>
      <c r="R24" s="969" t="s">
        <v>8</v>
      </c>
      <c r="S24" s="973">
        <f>'XM.FILE GOC'!S96</f>
        <v>0</v>
      </c>
      <c r="T24" s="974" t="s">
        <v>10</v>
      </c>
      <c r="U24" s="915"/>
      <c r="V24" s="946"/>
      <c r="W24" s="1590"/>
      <c r="X24" s="916"/>
      <c r="Y24" s="1761">
        <f>'XM.FILE GOC'!W96</f>
        <v>2.0499999999999998</v>
      </c>
      <c r="Z24" s="969" t="s">
        <v>8</v>
      </c>
      <c r="AA24" s="973">
        <f>'XM.FILE GOC'!Z96</f>
        <v>0</v>
      </c>
      <c r="AB24" s="974" t="s">
        <v>10</v>
      </c>
      <c r="AC24" s="915"/>
      <c r="AD24" s="946"/>
      <c r="AE24" s="1590"/>
      <c r="AF24" s="916"/>
      <c r="AG24" s="2383"/>
    </row>
    <row r="25" spans="1:67" ht="36" customHeight="1">
      <c r="A25" s="2392"/>
      <c r="B25" s="2421" t="s">
        <v>2</v>
      </c>
      <c r="C25" s="2422"/>
      <c r="D25" s="2422"/>
      <c r="E25" s="2422"/>
      <c r="F25" s="2422"/>
      <c r="G25" s="2422"/>
      <c r="H25" s="2422"/>
      <c r="I25" s="2422"/>
      <c r="J25" s="2422"/>
      <c r="K25" s="2422"/>
      <c r="L25" s="2422"/>
      <c r="M25" s="2422"/>
      <c r="N25" s="2422"/>
      <c r="O25" s="2422"/>
      <c r="P25" s="2422"/>
      <c r="Q25" s="2422"/>
      <c r="R25" s="2422"/>
      <c r="S25" s="2422"/>
      <c r="T25" s="2422"/>
      <c r="U25" s="2422"/>
      <c r="V25" s="2422"/>
      <c r="W25" s="2422"/>
      <c r="X25" s="2422"/>
      <c r="Y25" s="2422"/>
      <c r="Z25" s="2422"/>
      <c r="AA25" s="2422"/>
      <c r="AB25" s="2422"/>
      <c r="AC25" s="2422"/>
      <c r="AD25" s="2422"/>
      <c r="AE25" s="2422"/>
      <c r="AF25" s="2422"/>
      <c r="AG25" s="2423"/>
    </row>
    <row r="26" spans="1:67" ht="54" customHeight="1">
      <c r="A26" s="2392" t="s">
        <v>7</v>
      </c>
      <c r="B26" s="3310" t="s">
        <v>948</v>
      </c>
      <c r="C26" s="3311"/>
      <c r="D26" s="3311"/>
      <c r="E26" s="3312"/>
      <c r="F26" s="2388" t="s">
        <v>949</v>
      </c>
      <c r="G26" s="2388" t="s">
        <v>1296</v>
      </c>
      <c r="H26" s="2204" t="s">
        <v>1289</v>
      </c>
      <c r="I26" s="3227" t="s">
        <v>950</v>
      </c>
      <c r="J26" s="3228"/>
      <c r="K26" s="3229" t="s">
        <v>951</v>
      </c>
      <c r="L26" s="3228"/>
      <c r="M26" s="917"/>
      <c r="N26" s="918"/>
      <c r="O26" s="918"/>
      <c r="P26" s="919"/>
      <c r="Q26" s="3229" t="s">
        <v>950</v>
      </c>
      <c r="R26" s="3228"/>
      <c r="S26" s="3229" t="s">
        <v>951</v>
      </c>
      <c r="T26" s="3228"/>
      <c r="U26" s="917"/>
      <c r="V26" s="918"/>
      <c r="W26" s="918"/>
      <c r="X26" s="919"/>
      <c r="Y26" s="3229" t="s">
        <v>950</v>
      </c>
      <c r="Z26" s="3228"/>
      <c r="AA26" s="3229" t="s">
        <v>951</v>
      </c>
      <c r="AB26" s="3228"/>
      <c r="AC26" s="917"/>
      <c r="AD26" s="918"/>
      <c r="AE26" s="918"/>
      <c r="AF26" s="919"/>
      <c r="AG26" s="10"/>
    </row>
    <row r="27" spans="1:67" ht="44.25" customHeight="1">
      <c r="A27" s="2392">
        <v>1</v>
      </c>
      <c r="B27" s="3310" t="s">
        <v>952</v>
      </c>
      <c r="C27" s="3311"/>
      <c r="D27" s="3311"/>
      <c r="E27" s="3312"/>
      <c r="F27" s="976" t="s">
        <v>953</v>
      </c>
      <c r="G27" s="897" t="str">
        <f>'XM.FILE GOC'!$E$105</f>
        <v>50~70</v>
      </c>
      <c r="H27" s="2202" t="str">
        <f>'XM.FILE GOC'!$F$105</f>
        <v>(60±5)</v>
      </c>
      <c r="I27" s="3195">
        <f>'3.XT-C KH'!I29:J29</f>
        <v>58</v>
      </c>
      <c r="J27" s="3121"/>
      <c r="K27" s="3121">
        <f>'3.XT-C KH'!K29:L29</f>
        <v>58</v>
      </c>
      <c r="L27" s="3121"/>
      <c r="M27" s="920"/>
      <c r="N27" s="921"/>
      <c r="O27" s="921"/>
      <c r="P27" s="922"/>
      <c r="Q27" s="3121">
        <f>'3.XT-C KH'!Q29:R29</f>
        <v>58</v>
      </c>
      <c r="R27" s="3121"/>
      <c r="S27" s="3121">
        <f>'3.XT-C KH'!S29:T29</f>
        <v>58</v>
      </c>
      <c r="T27" s="3121"/>
      <c r="U27" s="920"/>
      <c r="V27" s="921"/>
      <c r="W27" s="921"/>
      <c r="X27" s="922"/>
      <c r="Y27" s="3121">
        <f>'3.XT-C KH'!Y29:Z29</f>
        <v>58</v>
      </c>
      <c r="Z27" s="3121"/>
      <c r="AA27" s="3121">
        <f>'3.XT-C KH'!AA29:AB29</f>
        <v>58</v>
      </c>
      <c r="AB27" s="3121"/>
      <c r="AC27" s="920"/>
      <c r="AD27" s="921"/>
      <c r="AE27" s="921"/>
      <c r="AF27" s="922"/>
      <c r="AG27" s="2395"/>
    </row>
    <row r="28" spans="1:67" ht="44.25" customHeight="1">
      <c r="A28" s="2392">
        <v>2</v>
      </c>
      <c r="B28" s="3310" t="s">
        <v>954</v>
      </c>
      <c r="C28" s="3311"/>
      <c r="D28" s="3311"/>
      <c r="E28" s="3312"/>
      <c r="F28" s="976" t="s">
        <v>953</v>
      </c>
      <c r="G28" s="897" t="str">
        <f>'XM.FILE GOC'!$E$106</f>
        <v>50~70</v>
      </c>
      <c r="H28" s="2202" t="str">
        <f>'XM.FILE GOC'!$F$106</f>
        <v>(60±5)</v>
      </c>
      <c r="I28" s="3195">
        <f>'3.XT-C KH'!I30:J30</f>
        <v>58</v>
      </c>
      <c r="J28" s="3121"/>
      <c r="K28" s="3121">
        <f>'3.XT-C KH'!K30:L30</f>
        <v>58</v>
      </c>
      <c r="L28" s="3121"/>
      <c r="M28" s="920"/>
      <c r="N28" s="921"/>
      <c r="O28" s="921"/>
      <c r="P28" s="922"/>
      <c r="Q28" s="3121">
        <f>'3.XT-C KH'!Q30:R30</f>
        <v>58</v>
      </c>
      <c r="R28" s="3121"/>
      <c r="S28" s="3121">
        <f>'3.XT-C KH'!S30:T30</f>
        <v>58</v>
      </c>
      <c r="T28" s="3121"/>
      <c r="U28" s="920"/>
      <c r="V28" s="921"/>
      <c r="W28" s="921"/>
      <c r="X28" s="922"/>
      <c r="Y28" s="3121">
        <f>'3.XT-C KH'!Y30:Z30</f>
        <v>59</v>
      </c>
      <c r="Z28" s="3121"/>
      <c r="AA28" s="3121">
        <f>'3.XT-C KH'!AA30:AB30</f>
        <v>58</v>
      </c>
      <c r="AB28" s="3121"/>
      <c r="AC28" s="920"/>
      <c r="AD28" s="921"/>
      <c r="AE28" s="921"/>
      <c r="AF28" s="922"/>
      <c r="AG28" s="2395"/>
    </row>
    <row r="29" spans="1:67" ht="44.25" customHeight="1">
      <c r="A29" s="2392">
        <v>3</v>
      </c>
      <c r="B29" s="3310" t="s">
        <v>955</v>
      </c>
      <c r="C29" s="3311"/>
      <c r="D29" s="3311"/>
      <c r="E29" s="3312"/>
      <c r="F29" s="976" t="s">
        <v>953</v>
      </c>
      <c r="G29" s="897" t="str">
        <f>'XM.FILE GOC'!$E$107</f>
        <v>50~70</v>
      </c>
      <c r="H29" s="2202" t="str">
        <f>'XM.FILE GOC'!$F$107</f>
        <v>(60±5)</v>
      </c>
      <c r="I29" s="3195">
        <f>'3.XT-C KH'!I31:J31</f>
        <v>59</v>
      </c>
      <c r="J29" s="3121"/>
      <c r="K29" s="3121">
        <f>'3.XT-C KH'!K31:L31</f>
        <v>58</v>
      </c>
      <c r="L29" s="3121"/>
      <c r="M29" s="920"/>
      <c r="N29" s="921"/>
      <c r="O29" s="921"/>
      <c r="P29" s="922"/>
      <c r="Q29" s="3121">
        <f>'3.XT-C KH'!Q31:R31</f>
        <v>58</v>
      </c>
      <c r="R29" s="3121"/>
      <c r="S29" s="3121">
        <f>'3.XT-C KH'!S31:T31</f>
        <v>59</v>
      </c>
      <c r="T29" s="3121"/>
      <c r="U29" s="920"/>
      <c r="V29" s="921"/>
      <c r="W29" s="921"/>
      <c r="X29" s="922"/>
      <c r="Y29" s="3121">
        <f>'3.XT-C KH'!Y31:Z31</f>
        <v>59</v>
      </c>
      <c r="Z29" s="3121"/>
      <c r="AA29" s="3121">
        <f>'3.XT-C KH'!AA31:AB31</f>
        <v>58</v>
      </c>
      <c r="AB29" s="3121"/>
      <c r="AC29" s="920"/>
      <c r="AD29" s="921"/>
      <c r="AE29" s="921"/>
      <c r="AF29" s="922"/>
      <c r="AG29" s="2395"/>
    </row>
    <row r="30" spans="1:67" ht="44.25" customHeight="1">
      <c r="A30" s="2392">
        <v>4</v>
      </c>
      <c r="B30" s="3310" t="s">
        <v>956</v>
      </c>
      <c r="C30" s="3311"/>
      <c r="D30" s="3311"/>
      <c r="E30" s="3312"/>
      <c r="F30" s="976" t="s">
        <v>953</v>
      </c>
      <c r="G30" s="897" t="str">
        <f>'XM.FILE GOC'!$E$108</f>
        <v>50~70</v>
      </c>
      <c r="H30" s="2202" t="str">
        <f>'XM.FILE GOC'!$F$108</f>
        <v>(60±5)</v>
      </c>
      <c r="I30" s="3195">
        <f>'3.XT-C KH'!I32:J32</f>
        <v>59</v>
      </c>
      <c r="J30" s="3121"/>
      <c r="K30" s="3121">
        <f>'3.XT-C KH'!K32:L32</f>
        <v>58</v>
      </c>
      <c r="L30" s="3121"/>
      <c r="M30" s="920"/>
      <c r="N30" s="921"/>
      <c r="O30" s="921"/>
      <c r="P30" s="922"/>
      <c r="Q30" s="3121">
        <f>'3.XT-C KH'!Q32:R32</f>
        <v>59</v>
      </c>
      <c r="R30" s="3121"/>
      <c r="S30" s="3121">
        <f>'3.XT-C KH'!S32:T32</f>
        <v>59</v>
      </c>
      <c r="T30" s="3121"/>
      <c r="U30" s="920"/>
      <c r="V30" s="921"/>
      <c r="W30" s="921"/>
      <c r="X30" s="922"/>
      <c r="Y30" s="3121">
        <f>'3.XT-C KH'!Y32:Z32</f>
        <v>58</v>
      </c>
      <c r="Z30" s="3121"/>
      <c r="AA30" s="3121">
        <f>'3.XT-C KH'!AA32:AB32</f>
        <v>58</v>
      </c>
      <c r="AB30" s="3121"/>
      <c r="AC30" s="920"/>
      <c r="AD30" s="921"/>
      <c r="AE30" s="921"/>
      <c r="AF30" s="922"/>
      <c r="AG30" s="2395"/>
    </row>
    <row r="31" spans="1:67" ht="44.25" customHeight="1">
      <c r="A31" s="1582">
        <v>5</v>
      </c>
      <c r="B31" s="3258" t="s">
        <v>957</v>
      </c>
      <c r="C31" s="3259"/>
      <c r="D31" s="3259"/>
      <c r="E31" s="3926"/>
      <c r="F31" s="2855" t="s">
        <v>953</v>
      </c>
      <c r="G31" s="2853" t="str">
        <f>'XM.FILE GOC'!$E$109</f>
        <v>22~28</v>
      </c>
      <c r="H31" s="2854" t="str">
        <f>'XM.FILE GOC'!$F$109</f>
        <v>(25±3)</v>
      </c>
      <c r="I31" s="3927">
        <f>'3.XT-C KH'!I33:J33</f>
        <v>25</v>
      </c>
      <c r="J31" s="3928"/>
      <c r="K31" s="3928">
        <f>'3.XT-C KH'!K33:L33</f>
        <v>24</v>
      </c>
      <c r="L31" s="3928"/>
      <c r="M31" s="920"/>
      <c r="N31" s="921"/>
      <c r="O31" s="921"/>
      <c r="P31" s="922"/>
      <c r="Q31" s="3928">
        <f>'3.XT-C KH'!Q33:R33</f>
        <v>26</v>
      </c>
      <c r="R31" s="3928"/>
      <c r="S31" s="3928">
        <f>'3.XT-C KH'!S33:T33</f>
        <v>25</v>
      </c>
      <c r="T31" s="3928"/>
      <c r="U31" s="920"/>
      <c r="V31" s="921"/>
      <c r="W31" s="921"/>
      <c r="X31" s="922"/>
      <c r="Y31" s="3928">
        <f>'3.XT-C KH'!Y33:Z33</f>
        <v>25</v>
      </c>
      <c r="Z31" s="3928"/>
      <c r="AA31" s="3928">
        <f>'3.XT-C KH'!AA33:AB33</f>
        <v>24</v>
      </c>
      <c r="AB31" s="3928"/>
      <c r="AC31" s="920"/>
      <c r="AD31" s="921"/>
      <c r="AE31" s="921"/>
      <c r="AF31" s="922"/>
      <c r="AG31" s="73"/>
    </row>
    <row r="32" spans="1:67" ht="44.25" customHeight="1">
      <c r="A32" s="1575">
        <v>6</v>
      </c>
      <c r="B32" s="3279" t="s">
        <v>958</v>
      </c>
      <c r="C32" s="3280"/>
      <c r="D32" s="3280"/>
      <c r="E32" s="3281"/>
      <c r="F32" s="2830" t="s">
        <v>953</v>
      </c>
      <c r="G32" s="2010" t="str">
        <f>'XM.FILE GOC'!$E$110</f>
        <v>30~40</v>
      </c>
      <c r="H32" s="2828" t="str">
        <f>'XM.FILE GOC'!$F$110</f>
        <v>(34±3)</v>
      </c>
      <c r="I32" s="3195">
        <f>'3.XT-C KH'!I34:J34</f>
        <v>34</v>
      </c>
      <c r="J32" s="3121"/>
      <c r="K32" s="3121">
        <f>'3.XT-C KH'!K34:L34</f>
        <v>35</v>
      </c>
      <c r="L32" s="3121"/>
      <c r="M32" s="920"/>
      <c r="N32" s="921"/>
      <c r="O32" s="921"/>
      <c r="P32" s="922"/>
      <c r="Q32" s="3121">
        <f>'3.XT-C KH'!Q34:R34</f>
        <v>35</v>
      </c>
      <c r="R32" s="3121"/>
      <c r="S32" s="3121">
        <f>'3.XT-C KH'!S34:T34</f>
        <v>34</v>
      </c>
      <c r="T32" s="3121"/>
      <c r="U32" s="920"/>
      <c r="V32" s="921"/>
      <c r="W32" s="921"/>
      <c r="X32" s="922"/>
      <c r="Y32" s="3121">
        <f>'3.XT-C KH'!Y34:Z34</f>
        <v>37</v>
      </c>
      <c r="Z32" s="3121"/>
      <c r="AA32" s="3121">
        <f>'3.XT-C KH'!AA34:AB34</f>
        <v>37</v>
      </c>
      <c r="AB32" s="3121"/>
      <c r="AC32" s="921"/>
      <c r="AD32" s="921"/>
      <c r="AE32" s="921"/>
      <c r="AF32" s="922"/>
      <c r="AG32" s="1581"/>
    </row>
    <row r="33" spans="1:67" ht="44.25" customHeight="1">
      <c r="A33" s="1583">
        <v>7</v>
      </c>
      <c r="B33" s="3320" t="s">
        <v>959</v>
      </c>
      <c r="C33" s="3321"/>
      <c r="D33" s="3321"/>
      <c r="E33" s="3322"/>
      <c r="F33" s="1578" t="s">
        <v>953</v>
      </c>
      <c r="G33" s="1579" t="str">
        <f>'XM.FILE GOC'!$E$111</f>
        <v>55~65</v>
      </c>
      <c r="H33" s="2218" t="str">
        <f>'XM.FILE GOC'!$F$111</f>
        <v>(60±5)</v>
      </c>
      <c r="I33" s="3323">
        <f>'3.XT-C KH'!I35</f>
        <v>62</v>
      </c>
      <c r="J33" s="3324"/>
      <c r="K33" s="3324">
        <f>'3.XT-C KH'!K35</f>
        <v>61</v>
      </c>
      <c r="L33" s="3324"/>
      <c r="M33" s="920"/>
      <c r="N33" s="921"/>
      <c r="O33" s="921"/>
      <c r="P33" s="922"/>
      <c r="Q33" s="3324">
        <f>'3.XT-C KH'!Q35</f>
        <v>61</v>
      </c>
      <c r="R33" s="3324"/>
      <c r="S33" s="3324">
        <f>'3.XT-C KH'!S35</f>
        <v>62</v>
      </c>
      <c r="T33" s="3324"/>
      <c r="U33" s="920"/>
      <c r="V33" s="921"/>
      <c r="W33" s="921"/>
      <c r="X33" s="922"/>
      <c r="Y33" s="3324">
        <f>'3.XT-C KH'!Y35</f>
        <v>58</v>
      </c>
      <c r="Z33" s="3324"/>
      <c r="AA33" s="3324">
        <f>'3.XT-C KH'!AA35</f>
        <v>57</v>
      </c>
      <c r="AB33" s="3324"/>
      <c r="AC33" s="920"/>
      <c r="AD33" s="921"/>
      <c r="AE33" s="921"/>
      <c r="AF33" s="922"/>
      <c r="AG33" s="1580"/>
    </row>
    <row r="34" spans="1:67" ht="44.25" customHeight="1">
      <c r="A34" s="2392">
        <v>8</v>
      </c>
      <c r="B34" s="3310" t="s">
        <v>960</v>
      </c>
      <c r="C34" s="3311"/>
      <c r="D34" s="3311"/>
      <c r="E34" s="3312"/>
      <c r="F34" s="976" t="s">
        <v>953</v>
      </c>
      <c r="G34" s="897" t="str">
        <f>'XM.FILE GOC'!$E$112</f>
        <v>80~100</v>
      </c>
      <c r="H34" s="2202" t="str">
        <f>'XM.FILE GOC'!$F$112</f>
        <v>(90±5)</v>
      </c>
      <c r="I34" s="3228" t="str">
        <f>'3.XT-C KH'!I36</f>
        <v>\</v>
      </c>
      <c r="J34" s="3284"/>
      <c r="K34" s="3121">
        <f>'3.XT-C KH'!K36</f>
        <v>93</v>
      </c>
      <c r="L34" s="3121"/>
      <c r="M34" s="920"/>
      <c r="N34" s="921"/>
      <c r="O34" s="921"/>
      <c r="P34" s="922"/>
      <c r="Q34" s="3284" t="str">
        <f>'3.XT-C KH'!Q36</f>
        <v>\</v>
      </c>
      <c r="R34" s="3284"/>
      <c r="S34" s="3121">
        <f>'3.XT-C KH'!S36</f>
        <v>92</v>
      </c>
      <c r="T34" s="3121"/>
      <c r="U34" s="920"/>
      <c r="V34" s="921"/>
      <c r="W34" s="921"/>
      <c r="X34" s="922"/>
      <c r="Y34" s="3284" t="str">
        <f>'3.XT-C KH'!Y36</f>
        <v>\</v>
      </c>
      <c r="Z34" s="3284"/>
      <c r="AA34" s="3121">
        <f>'3.XT-C KH'!AA36</f>
        <v>92</v>
      </c>
      <c r="AB34" s="3121"/>
      <c r="AC34" s="920"/>
      <c r="AD34" s="921"/>
      <c r="AE34" s="921"/>
      <c r="AF34" s="922"/>
      <c r="AG34" s="2397"/>
      <c r="AH34" s="61"/>
    </row>
    <row r="35" spans="1:67" ht="44.25" customHeight="1">
      <c r="A35" s="2392">
        <v>9</v>
      </c>
      <c r="B35" s="3325" t="s">
        <v>1274</v>
      </c>
      <c r="C35" s="3326"/>
      <c r="D35" s="3326"/>
      <c r="E35" s="3327"/>
      <c r="F35" s="976" t="s">
        <v>953</v>
      </c>
      <c r="G35" s="897" t="str">
        <f>'XM.FILE GOC'!$E$113</f>
        <v>40~60</v>
      </c>
      <c r="H35" s="2202" t="str">
        <f>'XM.FILE GOC'!$F$113</f>
        <v>(50±10)</v>
      </c>
      <c r="I35" s="3276">
        <f>'3.XT-C KH'!I37</f>
        <v>56</v>
      </c>
      <c r="J35" s="3277"/>
      <c r="K35" s="3277">
        <f>'3.XT-C KH'!K37</f>
        <v>55</v>
      </c>
      <c r="L35" s="3277"/>
      <c r="M35" s="920"/>
      <c r="N35" s="921"/>
      <c r="O35" s="921"/>
      <c r="P35" s="922"/>
      <c r="Q35" s="3277">
        <f>'3.XT-C KH'!Q37</f>
        <v>56</v>
      </c>
      <c r="R35" s="3277"/>
      <c r="S35" s="3277">
        <f>'3.XT-C KH'!S37</f>
        <v>56</v>
      </c>
      <c r="T35" s="3277"/>
      <c r="U35" s="920"/>
      <c r="V35" s="921"/>
      <c r="W35" s="921"/>
      <c r="X35" s="922"/>
      <c r="Y35" s="3277">
        <f>'3.XT-C KH'!Y37</f>
        <v>56</v>
      </c>
      <c r="Z35" s="3277"/>
      <c r="AA35" s="3277">
        <f>'3.XT-C KH'!AA37</f>
        <v>55</v>
      </c>
      <c r="AB35" s="3277"/>
      <c r="AC35" s="920"/>
      <c r="AD35" s="921"/>
      <c r="AE35" s="921"/>
      <c r="AF35" s="922"/>
      <c r="AG35" s="2397"/>
      <c r="AH35" s="921"/>
    </row>
    <row r="36" spans="1:67" ht="44.25" customHeight="1">
      <c r="A36" s="2392">
        <v>10</v>
      </c>
      <c r="B36" s="3325" t="s">
        <v>1277</v>
      </c>
      <c r="C36" s="3326"/>
      <c r="D36" s="3326"/>
      <c r="E36" s="3327"/>
      <c r="F36" s="976" t="s">
        <v>953</v>
      </c>
      <c r="G36" s="897" t="str">
        <f>'XM.FILE GOC'!$E$114</f>
        <v>50~70</v>
      </c>
      <c r="H36" s="2202" t="str">
        <f>'XM.FILE GOC'!$F$114</f>
        <v>(60±10)</v>
      </c>
      <c r="I36" s="3276">
        <f>'3.XT-C KH'!I38</f>
        <v>62</v>
      </c>
      <c r="J36" s="3277"/>
      <c r="K36" s="3277">
        <f>'3.XT-C KH'!K38</f>
        <v>63</v>
      </c>
      <c r="L36" s="3277"/>
      <c r="M36" s="920"/>
      <c r="N36" s="921"/>
      <c r="O36" s="921"/>
      <c r="P36" s="922"/>
      <c r="Q36" s="3277">
        <f>'3.XT-C KH'!Q38</f>
        <v>62</v>
      </c>
      <c r="R36" s="3277"/>
      <c r="S36" s="3277">
        <f>'3.XT-C KH'!S38</f>
        <v>62</v>
      </c>
      <c r="T36" s="3277"/>
      <c r="U36" s="920"/>
      <c r="V36" s="921"/>
      <c r="W36" s="921"/>
      <c r="X36" s="922"/>
      <c r="Y36" s="3277">
        <f>'3.XT-C KH'!Y38</f>
        <v>62</v>
      </c>
      <c r="Z36" s="3277"/>
      <c r="AA36" s="3277">
        <f>'3.XT-C KH'!AA38</f>
        <v>63</v>
      </c>
      <c r="AB36" s="3277"/>
      <c r="AC36" s="920"/>
      <c r="AD36" s="921"/>
      <c r="AE36" s="921"/>
      <c r="AF36" s="922"/>
      <c r="AG36" s="2397"/>
      <c r="AH36" s="921"/>
    </row>
    <row r="37" spans="1:67" ht="44.25" hidden="1" customHeight="1">
      <c r="A37" s="2392"/>
      <c r="B37" s="2389"/>
      <c r="C37" s="2390"/>
      <c r="D37" s="2390"/>
      <c r="E37" s="2391"/>
      <c r="F37" s="976"/>
      <c r="G37" s="897"/>
      <c r="H37" s="2252"/>
      <c r="I37" s="2387"/>
      <c r="J37" s="2386"/>
      <c r="K37" s="2386"/>
      <c r="L37" s="2386"/>
      <c r="M37" s="920"/>
      <c r="N37" s="921"/>
      <c r="O37" s="921"/>
      <c r="P37" s="922"/>
      <c r="Q37" s="2386"/>
      <c r="R37" s="2386"/>
      <c r="S37" s="2386"/>
      <c r="T37" s="2386"/>
      <c r="U37" s="920"/>
      <c r="V37" s="921"/>
      <c r="W37" s="921"/>
      <c r="X37" s="922"/>
      <c r="Y37" s="2386"/>
      <c r="Z37" s="2386"/>
      <c r="AA37" s="2386"/>
      <c r="AB37" s="2386"/>
      <c r="AC37" s="920"/>
      <c r="AD37" s="921"/>
      <c r="AE37" s="921"/>
      <c r="AF37" s="922"/>
      <c r="AG37" s="2397"/>
      <c r="AH37" s="921"/>
    </row>
    <row r="38" spans="1:67" ht="42" customHeight="1">
      <c r="A38" s="2392"/>
      <c r="B38" s="2421" t="s">
        <v>1297</v>
      </c>
      <c r="C38" s="2422"/>
      <c r="D38" s="2422"/>
      <c r="E38" s="2422"/>
      <c r="F38" s="2422"/>
      <c r="G38" s="2422"/>
      <c r="H38" s="2422"/>
      <c r="I38" s="2422"/>
      <c r="J38" s="2422"/>
      <c r="K38" s="2422"/>
      <c r="L38" s="2422"/>
      <c r="M38" s="2422"/>
      <c r="N38" s="2422"/>
      <c r="O38" s="2422"/>
      <c r="P38" s="2422"/>
      <c r="Q38" s="2422"/>
      <c r="R38" s="2422"/>
      <c r="S38" s="2422"/>
      <c r="T38" s="2422"/>
      <c r="U38" s="2422"/>
      <c r="V38" s="2422"/>
      <c r="W38" s="2422"/>
      <c r="X38" s="2422"/>
      <c r="Y38" s="2422"/>
      <c r="Z38" s="2422"/>
      <c r="AA38" s="2422"/>
      <c r="AB38" s="2422"/>
      <c r="AC38" s="2422"/>
      <c r="AD38" s="2422"/>
      <c r="AE38" s="2422"/>
      <c r="AF38" s="2422"/>
      <c r="AG38" s="2423"/>
      <c r="AH38" s="61"/>
    </row>
    <row r="39" spans="1:67" ht="56.25" customHeight="1">
      <c r="A39" s="2392" t="s">
        <v>7</v>
      </c>
      <c r="B39" s="3310" t="s">
        <v>961</v>
      </c>
      <c r="C39" s="3311"/>
      <c r="D39" s="3311"/>
      <c r="E39" s="3312"/>
      <c r="F39" s="2388" t="s">
        <v>734</v>
      </c>
      <c r="G39" s="2388" t="s">
        <v>1296</v>
      </c>
      <c r="H39" s="2204" t="s">
        <v>1289</v>
      </c>
      <c r="I39" s="3229" t="s">
        <v>962</v>
      </c>
      <c r="J39" s="3227"/>
      <c r="K39" s="3227"/>
      <c r="L39" s="3228"/>
      <c r="M39" s="1296"/>
      <c r="N39" s="1297"/>
      <c r="O39" s="1297"/>
      <c r="P39" s="1298"/>
      <c r="Q39" s="3229" t="s">
        <v>962</v>
      </c>
      <c r="R39" s="3227"/>
      <c r="S39" s="3227"/>
      <c r="T39" s="3228"/>
      <c r="U39" s="1296"/>
      <c r="V39" s="1297"/>
      <c r="W39" s="1297"/>
      <c r="X39" s="1298"/>
      <c r="Y39" s="3229" t="s">
        <v>962</v>
      </c>
      <c r="Z39" s="3227"/>
      <c r="AA39" s="3227"/>
      <c r="AB39" s="3228"/>
      <c r="AC39" s="917"/>
      <c r="AD39" s="918"/>
      <c r="AE39" s="918"/>
      <c r="AF39" s="919"/>
      <c r="AG39" s="10"/>
    </row>
    <row r="40" spans="1:67" ht="51" customHeight="1">
      <c r="A40" s="2392">
        <v>1</v>
      </c>
      <c r="B40" s="3929" t="s">
        <v>1568</v>
      </c>
      <c r="C40" s="3930"/>
      <c r="D40" s="3930"/>
      <c r="E40" s="3931"/>
      <c r="F40" s="2827" t="s">
        <v>47</v>
      </c>
      <c r="G40" s="2010" t="str">
        <f>'XM.FILE GOC'!$E$120</f>
        <v>30~50 
(40)</v>
      </c>
      <c r="H40" s="2828" t="str">
        <f>'XM.FILE GOC'!$F$120</f>
        <v>30~50 
(40)</v>
      </c>
      <c r="I40" s="3098">
        <f>'3.XT-C KH'!I43:L43</f>
        <v>42</v>
      </c>
      <c r="J40" s="3099"/>
      <c r="K40" s="3099"/>
      <c r="L40" s="3099"/>
      <c r="M40" s="1302"/>
      <c r="N40" s="1303"/>
      <c r="O40" s="1303"/>
      <c r="P40" s="1304"/>
      <c r="Q40" s="3098">
        <f>'3.XT-C KH'!Q43:T43</f>
        <v>40</v>
      </c>
      <c r="R40" s="3099"/>
      <c r="S40" s="3099"/>
      <c r="T40" s="3099"/>
      <c r="U40" s="1302"/>
      <c r="V40" s="1303"/>
      <c r="W40" s="1303"/>
      <c r="X40" s="1304"/>
      <c r="Y40" s="3098">
        <f>'3.XT-C KH'!Y43:AB43</f>
        <v>42</v>
      </c>
      <c r="Z40" s="3099"/>
      <c r="AA40" s="3099"/>
      <c r="AB40" s="3100"/>
      <c r="AC40" s="926"/>
      <c r="AD40" s="904"/>
      <c r="AE40" s="904"/>
      <c r="AF40" s="927"/>
      <c r="AG40" s="2395"/>
    </row>
    <row r="41" spans="1:67" ht="51" customHeight="1">
      <c r="A41" s="2392">
        <v>2</v>
      </c>
      <c r="B41" s="3929" t="s">
        <v>1569</v>
      </c>
      <c r="C41" s="3930"/>
      <c r="D41" s="3930"/>
      <c r="E41" s="3931"/>
      <c r="F41" s="2827" t="s">
        <v>47</v>
      </c>
      <c r="G41" s="2010" t="str">
        <f>'XM.FILE GOC'!$E$121</f>
        <v>160~220
(180)</v>
      </c>
      <c r="H41" s="2828" t="str">
        <f>'XM.FILE GOC'!$F$121</f>
        <v>160~220
(180)</v>
      </c>
      <c r="I41" s="3098">
        <f>'3.XT-C KH'!I44:L44</f>
        <v>195</v>
      </c>
      <c r="J41" s="3099"/>
      <c r="K41" s="3099"/>
      <c r="L41" s="3099"/>
      <c r="M41" s="1299"/>
      <c r="N41" s="1300"/>
      <c r="O41" s="1300"/>
      <c r="P41" s="1301"/>
      <c r="Q41" s="3098">
        <f>'3.XT-C KH'!Q44:T44</f>
        <v>197</v>
      </c>
      <c r="R41" s="3099"/>
      <c r="S41" s="3099"/>
      <c r="T41" s="3099"/>
      <c r="U41" s="1299"/>
      <c r="V41" s="1300"/>
      <c r="W41" s="1300"/>
      <c r="X41" s="1301"/>
      <c r="Y41" s="3098">
        <f>'3.XT-C KH'!Y44:AB44</f>
        <v>200</v>
      </c>
      <c r="Z41" s="3099"/>
      <c r="AA41" s="3099"/>
      <c r="AB41" s="3100"/>
      <c r="AC41" s="928"/>
      <c r="AD41" s="929"/>
      <c r="AE41" s="929"/>
      <c r="AF41" s="930"/>
      <c r="AG41" s="2395"/>
    </row>
    <row r="42" spans="1:67" ht="15.75" customHeight="1">
      <c r="A42" s="977"/>
      <c r="B42" s="898"/>
      <c r="C42" s="898"/>
      <c r="D42" s="898"/>
      <c r="E42" s="898"/>
      <c r="F42" s="978"/>
      <c r="G42" s="978"/>
      <c r="H42" s="978"/>
      <c r="I42" s="978"/>
      <c r="J42" s="978"/>
      <c r="K42" s="978"/>
      <c r="L42" s="978"/>
      <c r="M42" s="943"/>
      <c r="N42" s="943"/>
      <c r="O42" s="943"/>
      <c r="P42" s="943"/>
      <c r="Q42" s="978"/>
      <c r="R42" s="978"/>
      <c r="S42" s="978"/>
      <c r="T42" s="978"/>
      <c r="U42" s="943"/>
      <c r="V42" s="943"/>
      <c r="W42" s="943"/>
      <c r="X42" s="943"/>
      <c r="Y42" s="978"/>
      <c r="Z42" s="978"/>
      <c r="AA42" s="978"/>
      <c r="AB42" s="978"/>
      <c r="AC42" s="943"/>
      <c r="AD42" s="943"/>
      <c r="AE42" s="943"/>
      <c r="AF42" s="943"/>
      <c r="AG42" s="61"/>
    </row>
    <row r="43" spans="1:67" ht="42" customHeight="1">
      <c r="B43" s="1540" t="s">
        <v>134</v>
      </c>
      <c r="C43" s="1540"/>
      <c r="D43" s="1540"/>
      <c r="E43" s="1540"/>
      <c r="F43" s="1540"/>
      <c r="G43" s="1540"/>
      <c r="H43" s="1540"/>
      <c r="I43" s="1540"/>
      <c r="J43" s="1540"/>
      <c r="K43" s="1540"/>
      <c r="L43" s="1540"/>
      <c r="M43" s="1540"/>
      <c r="N43" s="1540"/>
      <c r="O43" s="1540"/>
      <c r="P43" s="1540"/>
      <c r="Q43" s="1540"/>
      <c r="R43" s="1540"/>
      <c r="S43" s="1540"/>
      <c r="T43" s="1540"/>
      <c r="U43" s="1540"/>
      <c r="V43" s="1540"/>
      <c r="W43" s="1540"/>
      <c r="X43" s="1540"/>
      <c r="Y43" s="1540"/>
      <c r="Z43" s="1540"/>
      <c r="AA43" s="2418"/>
      <c r="AB43" s="2418"/>
      <c r="AC43" s="2419"/>
      <c r="AD43" s="945"/>
      <c r="AE43" s="945"/>
      <c r="AF43" s="945"/>
      <c r="AG43" s="60"/>
      <c r="AJ43" s="1540" t="s">
        <v>134</v>
      </c>
      <c r="AK43" s="1540"/>
      <c r="AL43" s="1540"/>
      <c r="AM43" s="1540"/>
      <c r="AN43" s="1540"/>
      <c r="AO43" s="1540"/>
      <c r="AP43" s="1540"/>
      <c r="AQ43" s="1540"/>
      <c r="AR43" s="1540"/>
      <c r="AS43" s="1540"/>
      <c r="AT43" s="1540"/>
      <c r="AU43" s="1540"/>
      <c r="AV43" s="1540"/>
      <c r="AW43" s="1540"/>
      <c r="AX43" s="1540"/>
      <c r="AY43" s="1540"/>
      <c r="AZ43" s="1540"/>
      <c r="BA43" s="1540"/>
      <c r="BB43" s="1540"/>
      <c r="BC43" s="1540"/>
      <c r="BD43" s="1540"/>
      <c r="BE43" s="1540"/>
      <c r="BF43" s="1540"/>
      <c r="BG43" s="1540"/>
      <c r="BH43" s="1540"/>
      <c r="BI43" s="2418"/>
      <c r="BJ43" s="2418"/>
      <c r="BK43" s="2419"/>
      <c r="BL43" s="945"/>
      <c r="BM43" s="945"/>
      <c r="BN43" s="945"/>
      <c r="BO43" s="60"/>
    </row>
    <row r="44" spans="1:67" ht="51" customHeight="1">
      <c r="B44" s="2420" t="s">
        <v>135</v>
      </c>
      <c r="C44" s="2420"/>
      <c r="D44" s="2420"/>
      <c r="E44" s="2420"/>
      <c r="F44" s="2420"/>
      <c r="G44" s="2420"/>
      <c r="H44" s="2420"/>
      <c r="I44" s="2420"/>
      <c r="J44" s="2420"/>
      <c r="K44" s="2420"/>
      <c r="L44" s="2420"/>
      <c r="M44" s="2420"/>
      <c r="N44" s="2420"/>
      <c r="O44" s="2420"/>
      <c r="P44" s="2420"/>
      <c r="Q44" s="2420"/>
      <c r="R44" s="2420"/>
      <c r="S44" s="2420"/>
      <c r="T44" s="2420"/>
      <c r="U44" s="2420"/>
      <c r="V44" s="2420"/>
      <c r="W44" s="2420"/>
      <c r="X44" s="2420"/>
      <c r="Y44" s="2420"/>
      <c r="Z44" s="2420"/>
      <c r="AA44" s="2412"/>
      <c r="AB44" s="2412"/>
      <c r="AC44" s="2413"/>
      <c r="AD44" s="3128" t="s">
        <v>87</v>
      </c>
      <c r="AE44" s="3128"/>
      <c r="AF44" s="3130" t="s">
        <v>88</v>
      </c>
      <c r="AG44" s="3131"/>
      <c r="AJ44" s="2420" t="s">
        <v>1493</v>
      </c>
      <c r="AK44" s="2420"/>
      <c r="AL44" s="2420"/>
      <c r="AM44" s="2420"/>
      <c r="AN44" s="2420"/>
      <c r="AO44" s="2420"/>
      <c r="AP44" s="2420"/>
      <c r="AQ44" s="2420"/>
      <c r="AR44" s="2420"/>
      <c r="AS44" s="2420"/>
      <c r="AT44" s="2420"/>
      <c r="AU44" s="2420"/>
      <c r="AV44" s="2420"/>
      <c r="AW44" s="2420"/>
      <c r="AX44" s="2420"/>
      <c r="AY44" s="2420"/>
      <c r="AZ44" s="2420"/>
      <c r="BA44" s="2420"/>
      <c r="BB44" s="2420"/>
      <c r="BC44" s="2420"/>
      <c r="BD44" s="2420"/>
      <c r="BE44" s="2420"/>
      <c r="BF44" s="2420"/>
      <c r="BG44" s="2420"/>
      <c r="BH44" s="2420"/>
      <c r="BI44" s="2412"/>
      <c r="BJ44" s="2412"/>
      <c r="BK44" s="2413"/>
      <c r="BL44" s="3128" t="s">
        <v>87</v>
      </c>
      <c r="BM44" s="3128"/>
      <c r="BN44" s="3130" t="s">
        <v>88</v>
      </c>
      <c r="BO44" s="3131"/>
    </row>
    <row r="45" spans="1:67" ht="40.5" customHeight="1">
      <c r="A45" s="966"/>
      <c r="B45" s="1418" t="s">
        <v>126</v>
      </c>
      <c r="C45" s="1419"/>
      <c r="D45" s="1389"/>
      <c r="E45" s="1390"/>
      <c r="F45" s="1391"/>
      <c r="G45" s="1388" t="s">
        <v>1595</v>
      </c>
      <c r="H45" s="1812" t="str">
        <f>MENU!$AC$9</f>
        <v>Thứ 5,</v>
      </c>
      <c r="I45" s="3196" t="str">
        <f>MENU!$AD$9</f>
        <v>2024/08/01</v>
      </c>
      <c r="J45" s="3197"/>
      <c r="K45" s="3197"/>
      <c r="L45" s="3197"/>
      <c r="M45" s="942"/>
      <c r="N45" s="942"/>
      <c r="O45" s="942"/>
      <c r="P45" s="942"/>
      <c r="Q45" s="968"/>
      <c r="R45" s="968"/>
      <c r="S45" s="968"/>
      <c r="T45" s="968"/>
      <c r="U45" s="942"/>
      <c r="V45" s="942"/>
      <c r="W45" s="942"/>
      <c r="X45" s="942"/>
      <c r="Y45" s="968"/>
      <c r="Z45" s="968"/>
      <c r="AA45" s="3208"/>
      <c r="AB45" s="3208"/>
      <c r="AC45" s="940"/>
      <c r="AD45" s="3129" t="str">
        <f>MENU!AE7</f>
        <v>Trang</v>
      </c>
      <c r="AE45" s="3129"/>
      <c r="AF45" s="3204" t="s">
        <v>11</v>
      </c>
      <c r="AG45" s="3133"/>
      <c r="AI45" s="966"/>
      <c r="AJ45" s="1418" t="s">
        <v>126</v>
      </c>
      <c r="AK45" s="1419"/>
      <c r="AL45" s="1389"/>
      <c r="AM45" s="1390"/>
      <c r="AN45" s="1391"/>
      <c r="AO45" s="1388" t="s">
        <v>1595</v>
      </c>
      <c r="AP45" s="1812" t="str">
        <f>MENU!$AC$9</f>
        <v>Thứ 5,</v>
      </c>
      <c r="AQ45" s="3196" t="str">
        <f>MENU!$AD$9</f>
        <v>2024/08/01</v>
      </c>
      <c r="AR45" s="3197"/>
      <c r="AS45" s="3197"/>
      <c r="AT45" s="3197"/>
      <c r="AU45" s="942"/>
      <c r="AV45" s="942"/>
      <c r="AW45" s="942"/>
      <c r="AX45" s="942"/>
      <c r="AY45" s="968"/>
      <c r="AZ45" s="968"/>
      <c r="BA45" s="968"/>
      <c r="BB45" s="968"/>
      <c r="BC45" s="942"/>
      <c r="BD45" s="942"/>
      <c r="BE45" s="942"/>
      <c r="BF45" s="942"/>
      <c r="BG45" s="968"/>
      <c r="BH45" s="968"/>
      <c r="BI45" s="3208"/>
      <c r="BJ45" s="3208"/>
      <c r="BK45" s="940"/>
      <c r="BL45" s="3129" t="str">
        <f>MENU!AE7</f>
        <v>Trang</v>
      </c>
      <c r="BM45" s="3129"/>
      <c r="BN45" s="3204" t="s">
        <v>11</v>
      </c>
      <c r="BO45" s="3133"/>
    </row>
    <row r="46" spans="1:67" s="61" customFormat="1" ht="36.75" customHeight="1">
      <c r="A46" s="3273" t="s">
        <v>7</v>
      </c>
      <c r="B46" s="3151" t="s">
        <v>75</v>
      </c>
      <c r="C46" s="3152"/>
      <c r="D46" s="3152"/>
      <c r="E46" s="3153"/>
      <c r="F46" s="3149" t="s">
        <v>123</v>
      </c>
      <c r="G46" s="3180" t="s">
        <v>1296</v>
      </c>
      <c r="H46" s="3185" t="s">
        <v>1289</v>
      </c>
      <c r="I46" s="3209">
        <v>0.80208333333333337</v>
      </c>
      <c r="J46" s="3168"/>
      <c r="K46" s="3168"/>
      <c r="L46" s="3169"/>
      <c r="M46" s="3123" t="s">
        <v>929</v>
      </c>
      <c r="N46" s="3124"/>
      <c r="O46" s="3124"/>
      <c r="P46" s="3125"/>
      <c r="Q46" s="3167">
        <v>0.96875</v>
      </c>
      <c r="R46" s="3168"/>
      <c r="S46" s="3168"/>
      <c r="T46" s="3169"/>
      <c r="U46" s="3123" t="s">
        <v>929</v>
      </c>
      <c r="V46" s="3124"/>
      <c r="W46" s="3124"/>
      <c r="X46" s="3125"/>
      <c r="Y46" s="3210">
        <v>0.13541666666666666</v>
      </c>
      <c r="Z46" s="3149"/>
      <c r="AA46" s="3149"/>
      <c r="AB46" s="3149"/>
      <c r="AC46" s="3123" t="s">
        <v>929</v>
      </c>
      <c r="AD46" s="3124"/>
      <c r="AE46" s="3124"/>
      <c r="AF46" s="3125"/>
      <c r="AG46" s="3216" t="s">
        <v>38</v>
      </c>
      <c r="AI46" s="3273" t="s">
        <v>7</v>
      </c>
      <c r="AJ46" s="3151" t="s">
        <v>75</v>
      </c>
      <c r="AK46" s="3152"/>
      <c r="AL46" s="3152"/>
      <c r="AM46" s="3153"/>
      <c r="AN46" s="3149" t="s">
        <v>123</v>
      </c>
      <c r="AO46" s="3180" t="s">
        <v>1296</v>
      </c>
      <c r="AP46" s="3185" t="s">
        <v>1289</v>
      </c>
      <c r="AQ46" s="3209">
        <v>0.80208333333333337</v>
      </c>
      <c r="AR46" s="3168"/>
      <c r="AS46" s="3168"/>
      <c r="AT46" s="3169"/>
      <c r="AU46" s="3123" t="s">
        <v>929</v>
      </c>
      <c r="AV46" s="3271"/>
      <c r="AW46" s="3271"/>
      <c r="AX46" s="3272"/>
      <c r="AY46" s="3167">
        <v>0.96875</v>
      </c>
      <c r="AZ46" s="3168"/>
      <c r="BA46" s="3168"/>
      <c r="BB46" s="3169"/>
      <c r="BC46" s="3123" t="s">
        <v>929</v>
      </c>
      <c r="BD46" s="3271"/>
      <c r="BE46" s="3271"/>
      <c r="BF46" s="3272"/>
      <c r="BG46" s="3210">
        <v>0.13541666666666666</v>
      </c>
      <c r="BH46" s="3149"/>
      <c r="BI46" s="3149"/>
      <c r="BJ46" s="3149"/>
      <c r="BK46" s="3123" t="s">
        <v>929</v>
      </c>
      <c r="BL46" s="3271"/>
      <c r="BM46" s="3271"/>
      <c r="BN46" s="3272"/>
      <c r="BO46" s="3216" t="s">
        <v>38</v>
      </c>
    </row>
    <row r="47" spans="1:67" s="61" customFormat="1" ht="48.75" customHeight="1">
      <c r="A47" s="3273"/>
      <c r="B47" s="3154"/>
      <c r="C47" s="3155"/>
      <c r="D47" s="3155"/>
      <c r="E47" s="3156"/>
      <c r="F47" s="3150"/>
      <c r="G47" s="3181"/>
      <c r="H47" s="3186"/>
      <c r="I47" s="2189" t="s">
        <v>128</v>
      </c>
      <c r="J47" s="3173" t="s">
        <v>1</v>
      </c>
      <c r="K47" s="3174"/>
      <c r="L47" s="3175"/>
      <c r="M47" s="906" t="s">
        <v>128</v>
      </c>
      <c r="N47" s="3126" t="s">
        <v>1</v>
      </c>
      <c r="O47" s="3126"/>
      <c r="P47" s="3127"/>
      <c r="Q47" s="948" t="s">
        <v>128</v>
      </c>
      <c r="R47" s="3173" t="s">
        <v>1</v>
      </c>
      <c r="S47" s="3174"/>
      <c r="T47" s="3175"/>
      <c r="U47" s="906" t="s">
        <v>128</v>
      </c>
      <c r="V47" s="3126" t="s">
        <v>1</v>
      </c>
      <c r="W47" s="3126"/>
      <c r="X47" s="3127"/>
      <c r="Y47" s="948" t="s">
        <v>128</v>
      </c>
      <c r="Z47" s="3173" t="s">
        <v>1</v>
      </c>
      <c r="AA47" s="3174"/>
      <c r="AB47" s="3175"/>
      <c r="AC47" s="906" t="s">
        <v>128</v>
      </c>
      <c r="AD47" s="3126" t="s">
        <v>1</v>
      </c>
      <c r="AE47" s="3126"/>
      <c r="AF47" s="3127"/>
      <c r="AG47" s="3217"/>
      <c r="AI47" s="3273"/>
      <c r="AJ47" s="3154"/>
      <c r="AK47" s="3155"/>
      <c r="AL47" s="3155"/>
      <c r="AM47" s="3156"/>
      <c r="AN47" s="3150"/>
      <c r="AO47" s="3181"/>
      <c r="AP47" s="3186"/>
      <c r="AQ47" s="2189" t="s">
        <v>128</v>
      </c>
      <c r="AR47" s="3173" t="s">
        <v>1</v>
      </c>
      <c r="AS47" s="3174"/>
      <c r="AT47" s="3175"/>
      <c r="AU47" s="906" t="s">
        <v>128</v>
      </c>
      <c r="AV47" s="3126" t="s">
        <v>1</v>
      </c>
      <c r="AW47" s="3126"/>
      <c r="AX47" s="3127"/>
      <c r="AY47" s="948" t="s">
        <v>128</v>
      </c>
      <c r="AZ47" s="3173" t="s">
        <v>1</v>
      </c>
      <c r="BA47" s="3174"/>
      <c r="BB47" s="3175"/>
      <c r="BC47" s="906" t="s">
        <v>128</v>
      </c>
      <c r="BD47" s="3126" t="s">
        <v>1</v>
      </c>
      <c r="BE47" s="3126"/>
      <c r="BF47" s="3127"/>
      <c r="BG47" s="948" t="s">
        <v>128</v>
      </c>
      <c r="BH47" s="3173" t="s">
        <v>1</v>
      </c>
      <c r="BI47" s="3174"/>
      <c r="BJ47" s="3175"/>
      <c r="BK47" s="906" t="s">
        <v>128</v>
      </c>
      <c r="BL47" s="3126" t="s">
        <v>1</v>
      </c>
      <c r="BM47" s="3126"/>
      <c r="BN47" s="3127"/>
      <c r="BO47" s="3217"/>
    </row>
    <row r="48" spans="1:67" ht="42.75" customHeight="1">
      <c r="A48" s="3249">
        <v>1</v>
      </c>
      <c r="B48" s="3251" t="s">
        <v>940</v>
      </c>
      <c r="C48" s="3252"/>
      <c r="D48" s="3164" t="s">
        <v>229</v>
      </c>
      <c r="E48" s="3165"/>
      <c r="F48" s="2858" t="s">
        <v>4</v>
      </c>
      <c r="G48" s="897" t="str">
        <f>'XM.FILE GOC'!$E$78</f>
        <v>40~60</v>
      </c>
      <c r="H48" s="2202" t="str">
        <f>'XM.FILE GOC'!$F$78</f>
        <v>(50±5)</v>
      </c>
      <c r="I48" s="2205">
        <f>'XM.FILE GOC'!AD78</f>
        <v>0</v>
      </c>
      <c r="J48" s="969" t="s">
        <v>8</v>
      </c>
      <c r="K48" s="970">
        <f>'XM.FILE GOC'!AG78</f>
        <v>775.85</v>
      </c>
      <c r="L48" s="971" t="s">
        <v>9</v>
      </c>
      <c r="M48" s="1573">
        <f>'3.XT-C KH'!M51</f>
        <v>0</v>
      </c>
      <c r="N48" s="908" t="s">
        <v>8</v>
      </c>
      <c r="O48" s="1588" t="str">
        <f>IF(M48=0,"",('XM.FILE GOC'!$G$78-M48)*15517/1000)</f>
        <v/>
      </c>
      <c r="P48" s="909" t="s">
        <v>9</v>
      </c>
      <c r="Q48" s="2205">
        <f>'XM.FILE GOC'!AK78</f>
        <v>0</v>
      </c>
      <c r="R48" s="969" t="s">
        <v>8</v>
      </c>
      <c r="S48" s="970">
        <f>'XM.FILE GOC'!AN78</f>
        <v>775.85</v>
      </c>
      <c r="T48" s="971" t="s">
        <v>9</v>
      </c>
      <c r="U48" s="1573">
        <f>'3.XT-C KH'!U51</f>
        <v>0</v>
      </c>
      <c r="V48" s="908" t="s">
        <v>8</v>
      </c>
      <c r="W48" s="1588" t="str">
        <f>IF(U48=0,"",('XM.FILE GOC'!$G$78-U48)*15517/1000)</f>
        <v/>
      </c>
      <c r="X48" s="909" t="s">
        <v>9</v>
      </c>
      <c r="Y48" s="2205">
        <f>'XM.FILE GOC'!AR78</f>
        <v>0</v>
      </c>
      <c r="Z48" s="969" t="s">
        <v>8</v>
      </c>
      <c r="AA48" s="970">
        <f>'XM.FILE GOC'!AU78</f>
        <v>775.85</v>
      </c>
      <c r="AB48" s="971" t="s">
        <v>9</v>
      </c>
      <c r="AC48" s="1573">
        <f>'3.XT-C KH'!AC51</f>
        <v>0</v>
      </c>
      <c r="AD48" s="908" t="s">
        <v>8</v>
      </c>
      <c r="AE48" s="1588" t="str">
        <f>IF(AC48=0,"",('XM.FILE GOC'!$G$78-AC48)*15517/1000)</f>
        <v/>
      </c>
      <c r="AF48" s="909" t="s">
        <v>9</v>
      </c>
      <c r="AG48" s="2385" t="s">
        <v>39</v>
      </c>
      <c r="AI48" s="2675">
        <v>1</v>
      </c>
      <c r="AJ48" s="3303" t="s">
        <v>121</v>
      </c>
      <c r="AK48" s="3303"/>
      <c r="AL48" s="3303" t="s">
        <v>115</v>
      </c>
      <c r="AM48" s="3303"/>
      <c r="AN48" s="2049" t="s">
        <v>4</v>
      </c>
      <c r="AO48" s="2048" t="str">
        <f>'XM.GUI MAIL'!$E$99</f>
        <v>5~6</v>
      </c>
      <c r="AP48" s="2217" t="str">
        <f>'XM.GUI MAIL'!$F$99</f>
        <v>(5.5± 0.5)</v>
      </c>
      <c r="AQ48" s="2205">
        <f>'XM.FILE GOC'!AD99</f>
        <v>0</v>
      </c>
      <c r="AR48" s="969" t="s">
        <v>8</v>
      </c>
      <c r="AS48" s="2804">
        <f>'XM.FILE GOC'!AG99</f>
        <v>44</v>
      </c>
      <c r="AT48" s="2799" t="s">
        <v>9</v>
      </c>
      <c r="AU48" s="1573">
        <f>'3.XT-C KH'!AU51</f>
        <v>0</v>
      </c>
      <c r="AV48" s="908" t="s">
        <v>8</v>
      </c>
      <c r="AW48" s="2321" t="str">
        <f>IF(AU48=0,"",('XM.FILE GOC'!$G$99-AU48)*8000/1000)</f>
        <v/>
      </c>
      <c r="AX48" s="909" t="s">
        <v>9</v>
      </c>
      <c r="AY48" s="1398">
        <f>'XM.FILE GOC'!AK99</f>
        <v>0</v>
      </c>
      <c r="AZ48" s="969" t="s">
        <v>8</v>
      </c>
      <c r="BA48" s="2804">
        <f>'XM.FILE GOC'!AN99</f>
        <v>44</v>
      </c>
      <c r="BB48" s="2799" t="s">
        <v>9</v>
      </c>
      <c r="BC48" s="1573">
        <f>'3.XT-C KH'!BC51</f>
        <v>0</v>
      </c>
      <c r="BD48" s="908" t="s">
        <v>8</v>
      </c>
      <c r="BE48" s="2321" t="str">
        <f>IF(BC48=0,"",('XM.FILE GOC'!$G$99-BC48)*8000/1000)</f>
        <v/>
      </c>
      <c r="BF48" s="909" t="s">
        <v>9</v>
      </c>
      <c r="BG48" s="1398">
        <f>'XM.FILE GOC'!AR99</f>
        <v>0</v>
      </c>
      <c r="BH48" s="969" t="s">
        <v>8</v>
      </c>
      <c r="BI48" s="2804">
        <f>'XM.FILE GOC'!AU99</f>
        <v>44</v>
      </c>
      <c r="BJ48" s="2799" t="s">
        <v>9</v>
      </c>
      <c r="BK48" s="1573">
        <f>'3.XT-C KH'!BK51</f>
        <v>0</v>
      </c>
      <c r="BL48" s="908" t="s">
        <v>8</v>
      </c>
      <c r="BM48" s="2321" t="str">
        <f>IF(BK48=0,"",('XM.FILE GOC'!$G$99-BK48)*8000/1000)</f>
        <v/>
      </c>
      <c r="BN48" s="909" t="s">
        <v>9</v>
      </c>
      <c r="BO48" s="2859" t="s">
        <v>40</v>
      </c>
    </row>
    <row r="49" spans="1:67" ht="42.75" customHeight="1">
      <c r="A49" s="3250"/>
      <c r="B49" s="3253"/>
      <c r="C49" s="3254"/>
      <c r="D49" s="3164" t="s">
        <v>230</v>
      </c>
      <c r="E49" s="3165"/>
      <c r="F49" s="896"/>
      <c r="G49" s="897" t="s">
        <v>1479</v>
      </c>
      <c r="H49" s="2202"/>
      <c r="I49" s="2191"/>
      <c r="J49" s="58"/>
      <c r="K49" s="952">
        <f>K48/25*8.5</f>
        <v>263.78900000000004</v>
      </c>
      <c r="L49" s="587" t="s">
        <v>10</v>
      </c>
      <c r="M49" s="1573">
        <f>'3.XT-C KH'!M52</f>
        <v>0</v>
      </c>
      <c r="N49" s="910" t="s">
        <v>8</v>
      </c>
      <c r="O49" s="1586" t="str">
        <f>IF(M48=0,"",O48/25*8.5)</f>
        <v/>
      </c>
      <c r="P49" s="911" t="s">
        <v>10</v>
      </c>
      <c r="Q49" s="2191"/>
      <c r="R49" s="58"/>
      <c r="S49" s="952">
        <f>S48/25*8.5</f>
        <v>263.78900000000004</v>
      </c>
      <c r="T49" s="587" t="s">
        <v>10</v>
      </c>
      <c r="U49" s="1573">
        <f>'3.XT-C KH'!U52</f>
        <v>0</v>
      </c>
      <c r="V49" s="910" t="s">
        <v>8</v>
      </c>
      <c r="W49" s="1586" t="str">
        <f>IF(U48=0,"",W48/25*8.5)</f>
        <v/>
      </c>
      <c r="X49" s="911" t="s">
        <v>10</v>
      </c>
      <c r="Y49" s="2191"/>
      <c r="Z49" s="58"/>
      <c r="AA49" s="952">
        <f>AA48/25*8.5</f>
        <v>263.78900000000004</v>
      </c>
      <c r="AB49" s="587" t="s">
        <v>10</v>
      </c>
      <c r="AC49" s="1573">
        <f>'3.XT-C KH'!AC52</f>
        <v>0</v>
      </c>
      <c r="AD49" s="910" t="s">
        <v>8</v>
      </c>
      <c r="AE49" s="1586" t="str">
        <f>IF(AC48=0,"",AE48/25*8.5)</f>
        <v/>
      </c>
      <c r="AF49" s="911" t="s">
        <v>10</v>
      </c>
      <c r="AG49" s="2385"/>
      <c r="AI49" s="2851">
        <v>2</v>
      </c>
      <c r="AJ49" s="3303"/>
      <c r="AK49" s="3303"/>
      <c r="AL49" s="3303" t="s">
        <v>99</v>
      </c>
      <c r="AM49" s="3303"/>
      <c r="AN49" s="2049" t="s">
        <v>4</v>
      </c>
      <c r="AO49" s="2048" t="str">
        <f>'XM.GUI MAIL'!$E$100</f>
        <v>130~140</v>
      </c>
      <c r="AP49" s="2801" t="str">
        <f>'XM.GUI MAIL'!$F$100</f>
        <v>(135 ± 5)</v>
      </c>
      <c r="AQ49" s="53">
        <f>'XM.FILE GOC'!AD100</f>
        <v>0</v>
      </c>
      <c r="AR49" s="969" t="s">
        <v>8</v>
      </c>
      <c r="AS49" s="2804">
        <f>'XM.FILE GOC'!AG100</f>
        <v>1080</v>
      </c>
      <c r="AT49" s="2799" t="s">
        <v>9</v>
      </c>
      <c r="AU49" s="1573">
        <f>'3.XT-C KH'!AU52</f>
        <v>0</v>
      </c>
      <c r="AV49" s="908" t="s">
        <v>8</v>
      </c>
      <c r="AW49" s="1589" t="str">
        <f>IF(AU49=0,"",('XM.FILE GOC'!$G$100-AU49)*8000/1000)</f>
        <v/>
      </c>
      <c r="AX49" s="909" t="s">
        <v>9</v>
      </c>
      <c r="AY49" s="53">
        <f>'XM.FILE GOC'!AK100</f>
        <v>0</v>
      </c>
      <c r="AZ49" s="969" t="s">
        <v>8</v>
      </c>
      <c r="BA49" s="2804">
        <f>'XM.FILE GOC'!AN100</f>
        <v>1080</v>
      </c>
      <c r="BB49" s="2799" t="s">
        <v>9</v>
      </c>
      <c r="BC49" s="1573">
        <f>'3.XT-C KH'!BC52</f>
        <v>0</v>
      </c>
      <c r="BD49" s="908" t="s">
        <v>8</v>
      </c>
      <c r="BE49" s="1589" t="str">
        <f>IF(BC49=0,"",('XM.FILE GOC'!$G$100-BC49)*8000/1000)</f>
        <v/>
      </c>
      <c r="BF49" s="909" t="s">
        <v>9</v>
      </c>
      <c r="BG49" s="53">
        <f>'XM.FILE GOC'!AR100</f>
        <v>0</v>
      </c>
      <c r="BH49" s="969" t="s">
        <v>8</v>
      </c>
      <c r="BI49" s="2804">
        <f>'XM.FILE GOC'!AU100</f>
        <v>1080</v>
      </c>
      <c r="BJ49" s="2800" t="s">
        <v>9</v>
      </c>
      <c r="BK49" s="1573">
        <f>'3.XT-C KH'!BK52</f>
        <v>0</v>
      </c>
      <c r="BL49" s="908" t="s">
        <v>8</v>
      </c>
      <c r="BM49" s="1589" t="str">
        <f>IF(BK49=0,"",('XM.FILE GOC'!$G$100-BK49)*8000/1000)</f>
        <v/>
      </c>
      <c r="BN49" s="909" t="s">
        <v>9</v>
      </c>
      <c r="BO49" s="2859" t="s">
        <v>41</v>
      </c>
    </row>
    <row r="50" spans="1:67" ht="42.75" customHeight="1">
      <c r="A50" s="3249">
        <v>2</v>
      </c>
      <c r="B50" s="3251" t="s">
        <v>941</v>
      </c>
      <c r="C50" s="3252"/>
      <c r="D50" s="3164" t="s">
        <v>229</v>
      </c>
      <c r="E50" s="3165"/>
      <c r="F50" s="2858" t="s">
        <v>4</v>
      </c>
      <c r="G50" s="897" t="str">
        <f>'XM.FILE GOC'!$E$80</f>
        <v>40~60</v>
      </c>
      <c r="H50" s="2202" t="str">
        <f>'XM.FILE GOC'!$F$80</f>
        <v>(50±5)</v>
      </c>
      <c r="I50" s="2205">
        <f>'XM.FILE GOC'!AD80</f>
        <v>0</v>
      </c>
      <c r="J50" s="969" t="s">
        <v>8</v>
      </c>
      <c r="K50" s="970">
        <f>'XM.FILE GOC'!AG80</f>
        <v>573.75</v>
      </c>
      <c r="L50" s="971" t="s">
        <v>9</v>
      </c>
      <c r="M50" s="1573">
        <f>'3.XT-C KH'!M53</f>
        <v>0</v>
      </c>
      <c r="N50" s="908" t="s">
        <v>8</v>
      </c>
      <c r="O50" s="1588" t="str">
        <f>IF(M50=0,"",('XM.FILE GOC'!$G$80-M50)*11475/1000)</f>
        <v/>
      </c>
      <c r="P50" s="909" t="s">
        <v>9</v>
      </c>
      <c r="Q50" s="2205">
        <f>'XM.FILE GOC'!AK80</f>
        <v>0</v>
      </c>
      <c r="R50" s="969" t="s">
        <v>8</v>
      </c>
      <c r="S50" s="970">
        <f>'XM.FILE GOC'!AN80</f>
        <v>573.75</v>
      </c>
      <c r="T50" s="971" t="s">
        <v>9</v>
      </c>
      <c r="U50" s="1573">
        <f>'3.XT-C KH'!U53</f>
        <v>0</v>
      </c>
      <c r="V50" s="908" t="s">
        <v>8</v>
      </c>
      <c r="W50" s="1588" t="str">
        <f>IF(U50=0,"",('XM.FILE GOC'!$G$80-U50)*11475/1000)</f>
        <v/>
      </c>
      <c r="X50" s="909" t="s">
        <v>9</v>
      </c>
      <c r="Y50" s="2205">
        <f>'XM.FILE GOC'!AR80</f>
        <v>0</v>
      </c>
      <c r="Z50" s="969" t="s">
        <v>8</v>
      </c>
      <c r="AA50" s="970">
        <f>'XM.FILE GOC'!AU80</f>
        <v>573.75</v>
      </c>
      <c r="AB50" s="971" t="s">
        <v>9</v>
      </c>
      <c r="AC50" s="1573">
        <f>'3.XT-C KH'!AC53</f>
        <v>0</v>
      </c>
      <c r="AD50" s="908" t="s">
        <v>8</v>
      </c>
      <c r="AE50" s="1588" t="str">
        <f>IF(AC50=0,"",('XM.FILE GOC'!$G$80-AC50)*11475/1000)</f>
        <v/>
      </c>
      <c r="AF50" s="909" t="s">
        <v>9</v>
      </c>
      <c r="AG50" s="2385" t="s">
        <v>39</v>
      </c>
      <c r="AI50" s="2863">
        <v>3</v>
      </c>
      <c r="AJ50" s="3304" t="s">
        <v>1596</v>
      </c>
      <c r="AK50" s="3304"/>
      <c r="AL50" s="3304"/>
      <c r="AM50" s="3304"/>
      <c r="AN50" s="2795" t="s">
        <v>5</v>
      </c>
      <c r="AO50" s="2048" t="str">
        <f>'XM.GUI MAIL'!$E$101</f>
        <v>3.0-4.5</v>
      </c>
      <c r="AP50" s="2217" t="str">
        <f>'XM.GUI MAIL'!$F$101</f>
        <v>(4.3±0.2)</v>
      </c>
      <c r="AQ50" s="594">
        <f>'XM.FILE GOC'!AD101</f>
        <v>0</v>
      </c>
      <c r="AR50" s="969"/>
      <c r="AS50" s="2804"/>
      <c r="AT50" s="2799"/>
      <c r="AU50" s="1573">
        <f>'3.XT-C KH'!AU53</f>
        <v>0</v>
      </c>
      <c r="AV50" s="910"/>
      <c r="AW50" s="1588"/>
      <c r="AX50" s="911"/>
      <c r="AY50" s="594">
        <f>'XM.FILE GOC'!AK101</f>
        <v>0</v>
      </c>
      <c r="AZ50" s="969"/>
      <c r="BA50" s="2804"/>
      <c r="BB50" s="2799"/>
      <c r="BC50" s="1573">
        <f>'3.XT-C KH'!BC53</f>
        <v>0</v>
      </c>
      <c r="BD50" s="910"/>
      <c r="BE50" s="1588"/>
      <c r="BF50" s="911"/>
      <c r="BG50" s="594">
        <f>'XM.FILE GOC'!AR101</f>
        <v>0</v>
      </c>
      <c r="BH50" s="969"/>
      <c r="BI50" s="2804"/>
      <c r="BJ50" s="2799"/>
      <c r="BK50" s="1573">
        <f>'3.XT-C KH'!BK53</f>
        <v>0</v>
      </c>
      <c r="BL50" s="910"/>
      <c r="BM50" s="1588"/>
      <c r="BN50" s="911"/>
      <c r="BO50" s="2859" t="s">
        <v>42</v>
      </c>
    </row>
    <row r="51" spans="1:67" ht="42.75" customHeight="1">
      <c r="A51" s="3250"/>
      <c r="B51" s="3253"/>
      <c r="C51" s="3254"/>
      <c r="D51" s="3164" t="s">
        <v>230</v>
      </c>
      <c r="E51" s="3165"/>
      <c r="F51" s="896"/>
      <c r="G51" s="897" t="s">
        <v>1479</v>
      </c>
      <c r="H51" s="2202"/>
      <c r="I51" s="2191"/>
      <c r="J51" s="58"/>
      <c r="K51" s="952">
        <f>K50/25*8.5</f>
        <v>195.07499999999999</v>
      </c>
      <c r="L51" s="587" t="s">
        <v>10</v>
      </c>
      <c r="M51" s="1573">
        <f>'3.XT-C KH'!M54</f>
        <v>0</v>
      </c>
      <c r="N51" s="910" t="s">
        <v>8</v>
      </c>
      <c r="O51" s="1586" t="str">
        <f>IF(M50=0,"",O50/25*8.5)</f>
        <v/>
      </c>
      <c r="P51" s="911" t="s">
        <v>10</v>
      </c>
      <c r="Q51" s="2191"/>
      <c r="R51" s="58"/>
      <c r="S51" s="952">
        <f>S50/25*8.5</f>
        <v>195.07499999999999</v>
      </c>
      <c r="T51" s="587" t="s">
        <v>10</v>
      </c>
      <c r="U51" s="1573">
        <f>'3.XT-C KH'!U54</f>
        <v>0</v>
      </c>
      <c r="V51" s="910" t="s">
        <v>8</v>
      </c>
      <c r="W51" s="1586" t="str">
        <f>IF(U50=0,"",W50/25*8.5)</f>
        <v/>
      </c>
      <c r="X51" s="911" t="s">
        <v>10</v>
      </c>
      <c r="Y51" s="2191"/>
      <c r="Z51" s="58"/>
      <c r="AA51" s="952">
        <f>AA50/25*8.5</f>
        <v>195.07499999999999</v>
      </c>
      <c r="AB51" s="587" t="s">
        <v>10</v>
      </c>
      <c r="AC51" s="1573">
        <f>'3.XT-C KH'!AC54</f>
        <v>0</v>
      </c>
      <c r="AD51" s="910" t="s">
        <v>8</v>
      </c>
      <c r="AE51" s="1586" t="str">
        <f>IF(AC50=0,"",AE50/25*8.5)</f>
        <v/>
      </c>
      <c r="AF51" s="911" t="s">
        <v>10</v>
      </c>
      <c r="AG51" s="2385"/>
      <c r="AI51" s="2860">
        <v>4</v>
      </c>
      <c r="AJ51" s="3248" t="s">
        <v>1631</v>
      </c>
      <c r="AK51" s="3248"/>
      <c r="AL51" s="3248"/>
      <c r="AM51" s="3248"/>
      <c r="AN51" s="2796" t="s">
        <v>54</v>
      </c>
      <c r="AO51" s="2797">
        <f>'XM.GUI MAIL'!$E$102</f>
        <v>0</v>
      </c>
      <c r="AP51" s="2798">
        <f>'XM.GUI MAIL'!$F$102</f>
        <v>0</v>
      </c>
      <c r="AQ51" s="978">
        <f>'XM.FILE GOC'!AD102</f>
        <v>0</v>
      </c>
      <c r="AR51" s="2106" t="s">
        <v>8</v>
      </c>
      <c r="AS51" s="2107">
        <f>'XM.FILE GOC'!AG102</f>
        <v>201.6</v>
      </c>
      <c r="AT51" s="2108" t="s">
        <v>9</v>
      </c>
      <c r="AU51" s="1573">
        <f>'3.XT-C KH'!AU54</f>
        <v>0</v>
      </c>
      <c r="AV51" s="946" t="s">
        <v>8</v>
      </c>
      <c r="AW51" s="2820" t="str">
        <f>IF(AU51=0,"",('XM.FILE GOC'!$G$102-AU51)*3360/1000)</f>
        <v/>
      </c>
      <c r="AX51" s="916" t="s">
        <v>9</v>
      </c>
      <c r="AY51" s="2850">
        <f>'XM.FILE GOC'!AK102</f>
        <v>0</v>
      </c>
      <c r="AZ51" s="2842" t="s">
        <v>8</v>
      </c>
      <c r="BA51" s="2843">
        <f>'XM.FILE GOC'!AN102</f>
        <v>201.6</v>
      </c>
      <c r="BB51" s="2844" t="s">
        <v>9</v>
      </c>
      <c r="BC51" s="1573">
        <f>'3.XT-C KH'!BC54</f>
        <v>0</v>
      </c>
      <c r="BD51" s="2846" t="s">
        <v>8</v>
      </c>
      <c r="BE51" s="2820" t="str">
        <f>IF(BC51=0,"",('XM.FILE GOC'!$G$102-BC51)*3360/1000)</f>
        <v/>
      </c>
      <c r="BF51" s="2848" t="s">
        <v>9</v>
      </c>
      <c r="BG51" s="2850">
        <f>'XM.FILE GOC'!AR102</f>
        <v>0</v>
      </c>
      <c r="BH51" s="2842" t="s">
        <v>8</v>
      </c>
      <c r="BI51" s="2843">
        <f>'XM.FILE GOC'!AU102</f>
        <v>201.6</v>
      </c>
      <c r="BJ51" s="2849" t="s">
        <v>9</v>
      </c>
      <c r="BK51" s="1573">
        <f>'3.XT-C KH'!BK54</f>
        <v>0</v>
      </c>
      <c r="BL51" s="2846" t="s">
        <v>8</v>
      </c>
      <c r="BM51" s="2820" t="str">
        <f>IF(BK51=0,"",('XM.FILE GOC'!$G$102-BK51)*3360/1000)</f>
        <v/>
      </c>
      <c r="BN51" s="2848" t="s">
        <v>9</v>
      </c>
      <c r="BO51" s="2859"/>
    </row>
    <row r="52" spans="1:67" ht="42.75" customHeight="1">
      <c r="A52" s="3249">
        <v>3</v>
      </c>
      <c r="B52" s="3162" t="s">
        <v>942</v>
      </c>
      <c r="C52" s="3163"/>
      <c r="D52" s="3256" t="s">
        <v>231</v>
      </c>
      <c r="E52" s="3257" t="s">
        <v>231</v>
      </c>
      <c r="F52" s="2857" t="s">
        <v>4</v>
      </c>
      <c r="G52" s="897" t="str">
        <f>'XM.GUI MAIL'!$E$82</f>
        <v>50~70</v>
      </c>
      <c r="H52" s="2202" t="str">
        <f>'XM.FILE GOC'!$F$82</f>
        <v>(60±5)</v>
      </c>
      <c r="I52" s="2205">
        <f>'XM.FILE GOC'!AD82</f>
        <v>0</v>
      </c>
      <c r="J52" s="58" t="s">
        <v>8</v>
      </c>
      <c r="K52" s="586">
        <f>'XM.FILE GOC'!AG82</f>
        <v>492</v>
      </c>
      <c r="L52" s="587" t="s">
        <v>9</v>
      </c>
      <c r="M52" s="1573">
        <f>'3.XT-C KH'!M55</f>
        <v>0</v>
      </c>
      <c r="N52" s="908" t="s">
        <v>8</v>
      </c>
      <c r="O52" s="1588" t="str">
        <f>IF(M52=0,"",('XM.FILE GOC'!$G$82-M52)*8200/1000)</f>
        <v/>
      </c>
      <c r="P52" s="909" t="s">
        <v>9</v>
      </c>
      <c r="Q52" s="2205">
        <f>'XM.FILE GOC'!AK82</f>
        <v>0</v>
      </c>
      <c r="R52" s="58" t="s">
        <v>8</v>
      </c>
      <c r="S52" s="586">
        <f>'XM.FILE GOC'!AN82</f>
        <v>492</v>
      </c>
      <c r="T52" s="587" t="s">
        <v>9</v>
      </c>
      <c r="U52" s="1573">
        <f>'3.XT-C KH'!U55</f>
        <v>0</v>
      </c>
      <c r="V52" s="908" t="s">
        <v>8</v>
      </c>
      <c r="W52" s="1588" t="str">
        <f>IF(U52=0,"",('XM.FILE GOC'!$G$82-U52)*8200/1000)</f>
        <v/>
      </c>
      <c r="X52" s="909" t="s">
        <v>9</v>
      </c>
      <c r="Y52" s="2205">
        <f>'XM.FILE GOC'!AR82</f>
        <v>0</v>
      </c>
      <c r="Z52" s="58" t="s">
        <v>8</v>
      </c>
      <c r="AA52" s="586">
        <f>'XM.FILE GOC'!AU82</f>
        <v>492</v>
      </c>
      <c r="AB52" s="971" t="s">
        <v>9</v>
      </c>
      <c r="AC52" s="1573">
        <f>'3.XT-C KH'!AC55</f>
        <v>0</v>
      </c>
      <c r="AD52" s="908" t="s">
        <v>8</v>
      </c>
      <c r="AE52" s="1588" t="str">
        <f>IF(AC52=0,"",('XM.FILE GOC'!$G$82-AC52)*8200/1000)</f>
        <v/>
      </c>
      <c r="AF52" s="909" t="s">
        <v>9</v>
      </c>
      <c r="AG52" s="2385" t="s">
        <v>39</v>
      </c>
      <c r="AI52" s="2860"/>
      <c r="AJ52" s="2421" t="s">
        <v>1298</v>
      </c>
      <c r="AK52" s="2422"/>
      <c r="AL52" s="2422"/>
      <c r="AM52" s="2422"/>
      <c r="AN52" s="2422"/>
      <c r="AO52" s="2422"/>
      <c r="AP52" s="2422"/>
      <c r="AQ52" s="2422"/>
      <c r="AR52" s="2422"/>
      <c r="AS52" s="2422"/>
      <c r="AT52" s="2422"/>
      <c r="AU52" s="2422"/>
      <c r="AV52" s="2422"/>
      <c r="AW52" s="2422"/>
      <c r="AX52" s="2422"/>
      <c r="AY52" s="2422"/>
      <c r="AZ52" s="2422"/>
      <c r="BA52" s="2422"/>
      <c r="BB52" s="2422"/>
      <c r="BC52" s="2422"/>
      <c r="BD52" s="2422"/>
      <c r="BE52" s="2422"/>
      <c r="BF52" s="2422"/>
      <c r="BG52" s="2422"/>
      <c r="BH52" s="2422"/>
      <c r="BI52" s="2422"/>
      <c r="BJ52" s="2422"/>
      <c r="BK52" s="2422"/>
      <c r="BL52" s="2422"/>
      <c r="BM52" s="2422"/>
      <c r="BN52" s="2422"/>
      <c r="BO52" s="2423"/>
    </row>
    <row r="53" spans="1:67" ht="42.75" customHeight="1">
      <c r="A53" s="3255"/>
      <c r="B53" s="3163"/>
      <c r="C53" s="3163"/>
      <c r="D53" s="3256" t="s">
        <v>232</v>
      </c>
      <c r="E53" s="3257" t="s">
        <v>232</v>
      </c>
      <c r="F53" s="1004"/>
      <c r="G53" s="897" t="s">
        <v>1261</v>
      </c>
      <c r="H53" s="2202"/>
      <c r="I53" s="2191"/>
      <c r="J53" s="58"/>
      <c r="K53" s="952">
        <f>K52/25*8</f>
        <v>157.44</v>
      </c>
      <c r="L53" s="587" t="s">
        <v>10</v>
      </c>
      <c r="M53" s="1573">
        <f>'3.XT-C KH'!M56</f>
        <v>0</v>
      </c>
      <c r="N53" s="910" t="s">
        <v>8</v>
      </c>
      <c r="O53" s="1586" t="str">
        <f>IF(M52=0,"",O52/25*8)</f>
        <v/>
      </c>
      <c r="P53" s="911" t="s">
        <v>10</v>
      </c>
      <c r="Q53" s="2191"/>
      <c r="R53" s="58"/>
      <c r="S53" s="952">
        <f>S52/25*8</f>
        <v>157.44</v>
      </c>
      <c r="T53" s="587" t="s">
        <v>10</v>
      </c>
      <c r="U53" s="1573">
        <f>'3.XT-C KH'!U56</f>
        <v>0</v>
      </c>
      <c r="V53" s="910" t="s">
        <v>8</v>
      </c>
      <c r="W53" s="1586" t="str">
        <f>IF(U52=0,"",W52/25*8)</f>
        <v/>
      </c>
      <c r="X53" s="911" t="s">
        <v>10</v>
      </c>
      <c r="Y53" s="2191"/>
      <c r="Z53" s="58"/>
      <c r="AA53" s="952">
        <f>AA52/25*8</f>
        <v>157.44</v>
      </c>
      <c r="AB53" s="587" t="s">
        <v>10</v>
      </c>
      <c r="AC53" s="1573">
        <f>'3.XT-C KH'!AC56</f>
        <v>0</v>
      </c>
      <c r="AD53" s="910" t="s">
        <v>8</v>
      </c>
      <c r="AE53" s="1586" t="str">
        <f>IF(AC52=0,"",AE52/25*8)</f>
        <v/>
      </c>
      <c r="AF53" s="911" t="s">
        <v>10</v>
      </c>
      <c r="AG53" s="2385"/>
      <c r="AI53" s="2860"/>
      <c r="AJ53" s="3310" t="s">
        <v>948</v>
      </c>
      <c r="AK53" s="3311"/>
      <c r="AL53" s="3311"/>
      <c r="AM53" s="3312"/>
      <c r="AN53" s="2861" t="s">
        <v>949</v>
      </c>
      <c r="AO53" s="2861" t="s">
        <v>1296</v>
      </c>
      <c r="AP53" s="2204" t="s">
        <v>1289</v>
      </c>
      <c r="AQ53" s="3227" t="s">
        <v>950</v>
      </c>
      <c r="AR53" s="3228"/>
      <c r="AS53" s="3229" t="s">
        <v>951</v>
      </c>
      <c r="AT53" s="3228"/>
      <c r="AU53" s="917"/>
      <c r="AV53" s="918"/>
      <c r="AW53" s="918"/>
      <c r="AX53" s="919"/>
      <c r="AY53" s="3229" t="s">
        <v>950</v>
      </c>
      <c r="AZ53" s="3228"/>
      <c r="BA53" s="3229" t="s">
        <v>951</v>
      </c>
      <c r="BB53" s="3228"/>
      <c r="BC53" s="917"/>
      <c r="BD53" s="918"/>
      <c r="BE53" s="918"/>
      <c r="BF53" s="919"/>
      <c r="BG53" s="3229" t="s">
        <v>950</v>
      </c>
      <c r="BH53" s="3228"/>
      <c r="BI53" s="3229" t="s">
        <v>951</v>
      </c>
      <c r="BJ53" s="3228"/>
      <c r="BK53" s="917"/>
      <c r="BL53" s="918"/>
      <c r="BM53" s="918"/>
      <c r="BN53" s="919"/>
      <c r="BO53" s="10"/>
    </row>
    <row r="54" spans="1:67" ht="42.75" customHeight="1">
      <c r="A54" s="3249">
        <v>4</v>
      </c>
      <c r="B54" s="3162" t="s">
        <v>943</v>
      </c>
      <c r="C54" s="3163"/>
      <c r="D54" s="3256" t="s">
        <v>231</v>
      </c>
      <c r="E54" s="3257" t="s">
        <v>231</v>
      </c>
      <c r="F54" s="2857" t="s">
        <v>4</v>
      </c>
      <c r="G54" s="897" t="str">
        <f>'XM.GUI MAIL'!$E$84</f>
        <v>50~70</v>
      </c>
      <c r="H54" s="2202" t="str">
        <f>'XM.FILE GOC'!$F$84</f>
        <v>(60±5)</v>
      </c>
      <c r="I54" s="2205">
        <f>'XM.FILE GOC'!AD84</f>
        <v>0</v>
      </c>
      <c r="J54" s="969" t="s">
        <v>8</v>
      </c>
      <c r="K54" s="970">
        <f>'XM.FILE GOC'!AG84</f>
        <v>520.08000000000004</v>
      </c>
      <c r="L54" s="971" t="s">
        <v>9</v>
      </c>
      <c r="M54" s="1573">
        <f>'3.XT-C KH'!M57</f>
        <v>0</v>
      </c>
      <c r="N54" s="908" t="s">
        <v>8</v>
      </c>
      <c r="O54" s="1589" t="str">
        <f>IF(M54=0,"",('XM.FILE GOC'!$G$84-M54)*8668/1000)</f>
        <v/>
      </c>
      <c r="P54" s="909" t="s">
        <v>9</v>
      </c>
      <c r="Q54" s="2205">
        <f>'XM.FILE GOC'!AK84</f>
        <v>0</v>
      </c>
      <c r="R54" s="969" t="s">
        <v>8</v>
      </c>
      <c r="S54" s="970">
        <f>'XM.FILE GOC'!AN84</f>
        <v>520.08000000000004</v>
      </c>
      <c r="T54" s="971" t="s">
        <v>9</v>
      </c>
      <c r="U54" s="1573">
        <f>'3.XT-C KH'!U57</f>
        <v>0</v>
      </c>
      <c r="V54" s="908" t="s">
        <v>8</v>
      </c>
      <c r="W54" s="1589" t="str">
        <f>IF(U54=0,"",('XM.FILE GOC'!$G$84-U54)*8668/1000)</f>
        <v/>
      </c>
      <c r="X54" s="909" t="s">
        <v>9</v>
      </c>
      <c r="Y54" s="2205">
        <f>'XM.FILE GOC'!AR84</f>
        <v>0</v>
      </c>
      <c r="Z54" s="969" t="s">
        <v>8</v>
      </c>
      <c r="AA54" s="970">
        <f>'XM.FILE GOC'!AU84</f>
        <v>520.08000000000004</v>
      </c>
      <c r="AB54" s="971" t="s">
        <v>9</v>
      </c>
      <c r="AC54" s="1573">
        <f>'3.XT-C KH'!AC57</f>
        <v>0</v>
      </c>
      <c r="AD54" s="908" t="s">
        <v>8</v>
      </c>
      <c r="AE54" s="1589" t="str">
        <f>IF(AC54=0,"",('XM.FILE GOC'!$G$84-AC54)*8668/1000)</f>
        <v/>
      </c>
      <c r="AF54" s="909" t="s">
        <v>9</v>
      </c>
      <c r="AG54" s="2385" t="s">
        <v>39</v>
      </c>
      <c r="AI54" s="2860">
        <v>5</v>
      </c>
      <c r="AJ54" s="3306" t="s">
        <v>116</v>
      </c>
      <c r="AK54" s="3307"/>
      <c r="AL54" s="3307"/>
      <c r="AM54" s="3308"/>
      <c r="AN54" s="2050" t="s">
        <v>26</v>
      </c>
      <c r="AO54" s="2051" t="str">
        <f>'XM.GUI MAIL'!$E$117</f>
        <v>24~28</v>
      </c>
      <c r="AP54" s="2219" t="str">
        <f>'XM.GUI MAIL'!$F$117</f>
        <v>(26±2)</v>
      </c>
      <c r="AQ54" s="3309">
        <f>'XM.FILE GOC'!AD117</f>
        <v>0</v>
      </c>
      <c r="AR54" s="3108"/>
      <c r="AS54" s="3107">
        <f>'XM.FILE GOC'!AG117</f>
        <v>0</v>
      </c>
      <c r="AT54" s="3108"/>
      <c r="AU54" s="920"/>
      <c r="AV54" s="921"/>
      <c r="AW54" s="921"/>
      <c r="AX54" s="922"/>
      <c r="AY54" s="3107">
        <f>'XM.FILE GOC'!AK117</f>
        <v>0</v>
      </c>
      <c r="AZ54" s="3108"/>
      <c r="BA54" s="3107">
        <f>'XM.FILE GOC'!AN117</f>
        <v>0</v>
      </c>
      <c r="BB54" s="3108"/>
      <c r="BC54" s="920"/>
      <c r="BD54" s="921"/>
      <c r="BE54" s="921"/>
      <c r="BF54" s="922"/>
      <c r="BG54" s="3107">
        <f>'XM.FILE GOC'!AR117</f>
        <v>0</v>
      </c>
      <c r="BH54" s="3108"/>
      <c r="BI54" s="3107">
        <f>'XM.FILE GOC'!AU117</f>
        <v>0</v>
      </c>
      <c r="BJ54" s="3108"/>
      <c r="BK54" s="920"/>
      <c r="BL54" s="921"/>
      <c r="BM54" s="921"/>
      <c r="BN54" s="922"/>
      <c r="BO54" s="2862"/>
    </row>
    <row r="55" spans="1:67" ht="42.75" customHeight="1">
      <c r="A55" s="3255"/>
      <c r="B55" s="3267"/>
      <c r="C55" s="3267"/>
      <c r="D55" s="3256" t="s">
        <v>232</v>
      </c>
      <c r="E55" s="3257" t="s">
        <v>232</v>
      </c>
      <c r="F55" s="1004"/>
      <c r="G55" s="897" t="s">
        <v>1261</v>
      </c>
      <c r="H55" s="2202"/>
      <c r="I55" s="2191"/>
      <c r="J55" s="58"/>
      <c r="K55" s="952">
        <f>K54/25*8</f>
        <v>166.4256</v>
      </c>
      <c r="L55" s="587" t="s">
        <v>10</v>
      </c>
      <c r="M55" s="1573">
        <f>'3.XT-C KH'!M58</f>
        <v>0</v>
      </c>
      <c r="N55" s="910" t="s">
        <v>8</v>
      </c>
      <c r="O55" s="1586" t="str">
        <f>IF(M54=0,"",O54/25*8)</f>
        <v/>
      </c>
      <c r="P55" s="911" t="s">
        <v>10</v>
      </c>
      <c r="Q55" s="2191"/>
      <c r="R55" s="58"/>
      <c r="S55" s="952">
        <f>S54/25*8</f>
        <v>166.4256</v>
      </c>
      <c r="T55" s="587" t="s">
        <v>10</v>
      </c>
      <c r="U55" s="1573">
        <f>'3.XT-C KH'!U58</f>
        <v>0</v>
      </c>
      <c r="V55" s="910" t="s">
        <v>8</v>
      </c>
      <c r="W55" s="1586" t="str">
        <f>IF(U54=0,"",W54/25*8)</f>
        <v/>
      </c>
      <c r="X55" s="911" t="s">
        <v>10</v>
      </c>
      <c r="Y55" s="2191"/>
      <c r="Z55" s="58"/>
      <c r="AA55" s="952">
        <f>AA54/25*8</f>
        <v>166.4256</v>
      </c>
      <c r="AB55" s="587" t="s">
        <v>10</v>
      </c>
      <c r="AC55" s="1573">
        <f>'3.XT-C KH'!AC58</f>
        <v>0</v>
      </c>
      <c r="AD55" s="910" t="s">
        <v>8</v>
      </c>
      <c r="AE55" s="1586" t="str">
        <f>IF(AC54=0,"",AE54/25*8)</f>
        <v/>
      </c>
      <c r="AF55" s="911" t="s">
        <v>10</v>
      </c>
      <c r="AG55" s="2385"/>
      <c r="AI55" s="2862">
        <v>6</v>
      </c>
      <c r="AJ55" s="3306" t="s">
        <v>1597</v>
      </c>
      <c r="AK55" s="3307"/>
      <c r="AL55" s="3307"/>
      <c r="AM55" s="3308"/>
      <c r="AN55" s="2050" t="s">
        <v>26</v>
      </c>
      <c r="AO55" s="2051" t="str">
        <f>'XM.GUI MAIL'!$E$118</f>
        <v>20~30</v>
      </c>
      <c r="AP55" s="2219" t="str">
        <f>'XM.GUI MAIL'!$F$118</f>
        <v>(25±5)</v>
      </c>
      <c r="AQ55" s="3309">
        <f>'XM.FILE GOC'!AD118</f>
        <v>0</v>
      </c>
      <c r="AR55" s="3108"/>
      <c r="AS55" s="3107">
        <f>'XM.FILE GOC'!AG118</f>
        <v>0</v>
      </c>
      <c r="AT55" s="3313"/>
      <c r="AU55" s="2178"/>
      <c r="AV55" s="924"/>
      <c r="AW55" s="924"/>
      <c r="AX55" s="925"/>
      <c r="AY55" s="3107">
        <f>'XM.FILE GOC'!AK118</f>
        <v>0</v>
      </c>
      <c r="AZ55" s="3108"/>
      <c r="BA55" s="3107">
        <f>'XM.FILE GOC'!AN118</f>
        <v>0</v>
      </c>
      <c r="BB55" s="3313"/>
      <c r="BC55" s="2178"/>
      <c r="BD55" s="924"/>
      <c r="BE55" s="924"/>
      <c r="BF55" s="925"/>
      <c r="BG55" s="3107">
        <f>'XM.FILE GOC'!AR118</f>
        <v>0</v>
      </c>
      <c r="BH55" s="3108"/>
      <c r="BI55" s="3283">
        <f>'XM.FILE GOC'!AU118</f>
        <v>0</v>
      </c>
      <c r="BJ55" s="3283"/>
      <c r="BK55" s="2178"/>
      <c r="BL55" s="924"/>
      <c r="BM55" s="924"/>
      <c r="BN55" s="925"/>
      <c r="BO55" s="2862"/>
    </row>
    <row r="56" spans="1:67" ht="42.75" customHeight="1">
      <c r="A56" s="3249">
        <v>5</v>
      </c>
      <c r="B56" s="3274" t="s">
        <v>944</v>
      </c>
      <c r="C56" s="3268" t="s">
        <v>945</v>
      </c>
      <c r="D56" s="3269"/>
      <c r="E56" s="3270"/>
      <c r="F56" s="2827" t="s">
        <v>4</v>
      </c>
      <c r="G56" s="2010" t="str">
        <f>'XM.FILE GOC'!$E$86</f>
        <v>135~ 145</v>
      </c>
      <c r="H56" s="2828" t="str">
        <f>'XM.FILE GOC'!$F$86</f>
        <v>(140±5)</v>
      </c>
      <c r="I56" s="2207">
        <f>'XM.FILE GOC'!AD86</f>
        <v>0</v>
      </c>
      <c r="J56" s="969" t="s">
        <v>8</v>
      </c>
      <c r="K56" s="970">
        <f>'XM.FILE GOC'!AG86</f>
        <v>7429.24</v>
      </c>
      <c r="L56" s="971" t="s">
        <v>9</v>
      </c>
      <c r="M56" s="1573">
        <f>'3.XT-C KH'!M59</f>
        <v>0</v>
      </c>
      <c r="N56" s="908" t="s">
        <v>8</v>
      </c>
      <c r="O56" s="1589" t="str">
        <f>IF(M56=0,"",('XM.FILE GOC'!$G$86-M56)*53066/1000)</f>
        <v/>
      </c>
      <c r="P56" s="909" t="s">
        <v>9</v>
      </c>
      <c r="Q56" s="2207">
        <f>'XM.FILE GOC'!AK86</f>
        <v>0</v>
      </c>
      <c r="R56" s="969" t="s">
        <v>8</v>
      </c>
      <c r="S56" s="970">
        <f>'XM.FILE GOC'!AN86</f>
        <v>7429.24</v>
      </c>
      <c r="T56" s="971" t="s">
        <v>9</v>
      </c>
      <c r="U56" s="1573">
        <f>'3.XT-C KH'!U59</f>
        <v>0</v>
      </c>
      <c r="V56" s="908" t="s">
        <v>8</v>
      </c>
      <c r="W56" s="1589" t="str">
        <f>IF(U56=0,"",('XM.FILE GOC'!$G$86-U56)*53066/1000)</f>
        <v/>
      </c>
      <c r="X56" s="909" t="s">
        <v>9</v>
      </c>
      <c r="Y56" s="2207">
        <f>'XM.FILE GOC'!AR86</f>
        <v>0</v>
      </c>
      <c r="Z56" s="969" t="s">
        <v>8</v>
      </c>
      <c r="AA56" s="970">
        <f>'XM.FILE GOC'!AU86</f>
        <v>7429.24</v>
      </c>
      <c r="AB56" s="971" t="s">
        <v>9</v>
      </c>
      <c r="AC56" s="1573">
        <f>'3.XT-C KH'!AC59</f>
        <v>0</v>
      </c>
      <c r="AD56" s="908" t="s">
        <v>8</v>
      </c>
      <c r="AE56" s="1589" t="str">
        <f>IF(AC56=0,"",('XM.FILE GOC'!$G$86-AC56)*53066/1000)</f>
        <v/>
      </c>
      <c r="AF56" s="909" t="s">
        <v>9</v>
      </c>
      <c r="AG56" s="2385" t="s">
        <v>40</v>
      </c>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row>
    <row r="57" spans="1:67" ht="42.75" customHeight="1">
      <c r="A57" s="3255"/>
      <c r="B57" s="3917"/>
      <c r="C57" s="3918" t="s">
        <v>946</v>
      </c>
      <c r="D57" s="3919"/>
      <c r="E57" s="3920"/>
      <c r="F57" s="2852" t="s">
        <v>4</v>
      </c>
      <c r="G57" s="2853" t="str">
        <f>'XM.FILE GOC'!$E$87</f>
        <v>7~10</v>
      </c>
      <c r="H57" s="2854" t="str">
        <f>'XM.FILE GOC'!$F$87</f>
        <v>(8.5±1)</v>
      </c>
      <c r="I57" s="2273">
        <f>'XM.FILE GOC'!AD87</f>
        <v>0</v>
      </c>
      <c r="J57" s="2274" t="s">
        <v>8</v>
      </c>
      <c r="K57" s="2275">
        <f>'XM.FILE GOC'!AG87</f>
        <v>451.06099999999998</v>
      </c>
      <c r="L57" s="2276" t="s">
        <v>9</v>
      </c>
      <c r="M57" s="2102">
        <f>'3.XT-C KH'!M60</f>
        <v>0</v>
      </c>
      <c r="N57" s="2277" t="s">
        <v>8</v>
      </c>
      <c r="O57" s="2278" t="str">
        <f>IF(M57=0,"",('XM.FILE GOC'!$G$87-M57)*53066/1000)</f>
        <v/>
      </c>
      <c r="P57" s="2279" t="s">
        <v>9</v>
      </c>
      <c r="Q57" s="2273">
        <f>'XM.FILE GOC'!AK87</f>
        <v>0</v>
      </c>
      <c r="R57" s="2274" t="s">
        <v>8</v>
      </c>
      <c r="S57" s="2275">
        <f>'XM.FILE GOC'!AN87</f>
        <v>451.06099999999998</v>
      </c>
      <c r="T57" s="2276" t="s">
        <v>9</v>
      </c>
      <c r="U57" s="2102">
        <f>'3.XT-C KH'!U60</f>
        <v>0</v>
      </c>
      <c r="V57" s="2277" t="s">
        <v>8</v>
      </c>
      <c r="W57" s="2278" t="str">
        <f>IF(U57=0,"",('XM.FILE GOC'!$G$87-U57)*53066/1000)</f>
        <v/>
      </c>
      <c r="X57" s="2279" t="s">
        <v>9</v>
      </c>
      <c r="Y57" s="2273">
        <f>'XM.FILE GOC'!AR87</f>
        <v>0</v>
      </c>
      <c r="Z57" s="2274" t="s">
        <v>8</v>
      </c>
      <c r="AA57" s="2275">
        <f>'XM.FILE GOC'!AU87</f>
        <v>451.06099999999998</v>
      </c>
      <c r="AB57" s="2279" t="s">
        <v>9</v>
      </c>
      <c r="AC57" s="2102">
        <f>'3.XT-C KH'!AC60</f>
        <v>0</v>
      </c>
      <c r="AD57" s="2277" t="s">
        <v>8</v>
      </c>
      <c r="AE57" s="2278" t="str">
        <f>IF(AC57=0,"",('XM.FILE GOC'!$G$87-AC57)*53066/1000)</f>
        <v/>
      </c>
      <c r="AF57" s="2279" t="s">
        <v>9</v>
      </c>
      <c r="AG57" s="2384" t="s">
        <v>41</v>
      </c>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row>
    <row r="58" spans="1:67" s="7" customFormat="1" ht="42.75" customHeight="1">
      <c r="A58" s="3921">
        <v>6</v>
      </c>
      <c r="B58" s="3258" t="s">
        <v>37</v>
      </c>
      <c r="C58" s="3259"/>
      <c r="D58" s="3259"/>
      <c r="E58" s="3262"/>
      <c r="F58" s="2827" t="s">
        <v>3</v>
      </c>
      <c r="G58" s="2010" t="str">
        <f>'XM.FILE GOC'!$E$88</f>
        <v>5~8</v>
      </c>
      <c r="H58" s="2828" t="str">
        <f>'XM.FILE GOC'!$F$88</f>
        <v>(6±1)</v>
      </c>
      <c r="I58" s="2209">
        <f>'XM.FILE GOC'!AD88</f>
        <v>-1.0461</v>
      </c>
      <c r="J58" s="969"/>
      <c r="K58" s="970">
        <f>'XM.FILE GOC'!AG88</f>
        <v>236.74896000000001</v>
      </c>
      <c r="L58" s="971" t="s">
        <v>10</v>
      </c>
      <c r="M58" s="1573">
        <f>'3.XT-C KH'!M61</f>
        <v>0</v>
      </c>
      <c r="N58" s="910" t="s">
        <v>8</v>
      </c>
      <c r="O58" s="1588" t="str">
        <f>IF(M58=0,"",('XM.FILE GOC'!$G$88-M58)*3360/85)</f>
        <v/>
      </c>
      <c r="P58" s="911" t="s">
        <v>10</v>
      </c>
      <c r="Q58" s="594">
        <f>'XM.FILE GOC'!AK88</f>
        <v>-1.0461</v>
      </c>
      <c r="R58" s="969"/>
      <c r="S58" s="970">
        <f>'XM.FILE GOC'!AN88</f>
        <v>236.74896000000001</v>
      </c>
      <c r="T58" s="971" t="s">
        <v>10</v>
      </c>
      <c r="U58" s="1573">
        <f>'3.XT-C KH'!U61</f>
        <v>0</v>
      </c>
      <c r="V58" s="910" t="s">
        <v>8</v>
      </c>
      <c r="W58" s="1588" t="str">
        <f>IF(U58=0,"",('XM.FILE GOC'!$G$88-U58)*3360/85)</f>
        <v/>
      </c>
      <c r="X58" s="911" t="s">
        <v>10</v>
      </c>
      <c r="Y58" s="594">
        <f>'XM.FILE GOC'!AR88</f>
        <v>-1.0461</v>
      </c>
      <c r="Z58" s="969"/>
      <c r="AA58" s="970">
        <f>'XM.FILE GOC'!AU88</f>
        <v>236.74896000000001</v>
      </c>
      <c r="AB58" s="971" t="s">
        <v>10</v>
      </c>
      <c r="AC58" s="907">
        <f>'3.XT-C KH'!AC61</f>
        <v>0</v>
      </c>
      <c r="AD58" s="910" t="s">
        <v>8</v>
      </c>
      <c r="AE58" s="1588" t="str">
        <f>IF(AC58=0,"",('XM.FILE GOC'!$G$88-AC58)*3360/85)</f>
        <v/>
      </c>
      <c r="AF58" s="911" t="s">
        <v>10</v>
      </c>
      <c r="AG58" s="2294" t="s">
        <v>42</v>
      </c>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row>
    <row r="59" spans="1:67" ht="39" customHeight="1">
      <c r="A59" s="3922"/>
      <c r="B59" s="3923"/>
      <c r="C59" s="3924"/>
      <c r="D59" s="3924"/>
      <c r="E59" s="3925"/>
      <c r="F59" s="2827" t="s">
        <v>5</v>
      </c>
      <c r="G59" s="2010" t="str">
        <f>'XM.FILE GOC'!$E$89</f>
        <v>2.0~2.4</v>
      </c>
      <c r="H59" s="2828" t="str">
        <f>'XM.FILE GOC'!$F$89</f>
        <v>(2.2±0.1)</v>
      </c>
      <c r="I59" s="2230">
        <f>'XM.FILE GOC'!AD89</f>
        <v>0</v>
      </c>
      <c r="J59" s="1369"/>
      <c r="K59" s="1370"/>
      <c r="L59" s="1371"/>
      <c r="M59" s="1573"/>
      <c r="N59" s="912"/>
      <c r="O59" s="935"/>
      <c r="P59" s="913"/>
      <c r="Q59" s="2228">
        <f>'XM.FILE GOC'!AK89</f>
        <v>0</v>
      </c>
      <c r="R59" s="1369"/>
      <c r="S59" s="1370"/>
      <c r="T59" s="1371"/>
      <c r="U59" s="1573"/>
      <c r="V59" s="912"/>
      <c r="W59" s="935"/>
      <c r="X59" s="913"/>
      <c r="Y59" s="2228">
        <f>'XM.FILE GOC'!AR89</f>
        <v>0</v>
      </c>
      <c r="Z59" s="969"/>
      <c r="AA59" s="970"/>
      <c r="AB59" s="971"/>
      <c r="AC59" s="907"/>
      <c r="AD59" s="912"/>
      <c r="AE59" s="935"/>
      <c r="AF59" s="913"/>
      <c r="AG59" s="2310"/>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7" ht="42.75" customHeight="1">
      <c r="A60" s="2448">
        <v>7</v>
      </c>
      <c r="B60" s="3264" t="s">
        <v>81</v>
      </c>
      <c r="C60" s="3265"/>
      <c r="D60" s="3265"/>
      <c r="E60" s="3266"/>
      <c r="F60" s="632" t="s">
        <v>6</v>
      </c>
      <c r="G60" s="897" t="str">
        <f>'XM.FILE GOC'!$E$90</f>
        <v>40~50</v>
      </c>
      <c r="H60" s="2202" t="str">
        <f>'XM.FILE GOC'!$F$90</f>
        <v>(45±5)</v>
      </c>
      <c r="I60" s="1747">
        <f>'XM.FILE GOC'!AD90</f>
        <v>0</v>
      </c>
      <c r="J60" s="969"/>
      <c r="K60" s="970">
        <f>'XM.FILE GOC'!AG90</f>
        <v>1455.3</v>
      </c>
      <c r="L60" s="971" t="s">
        <v>10</v>
      </c>
      <c r="M60" s="914">
        <f>IF(I60&gt;44.99%,"",'3.XT-C KH'!M63)</f>
        <v>0</v>
      </c>
      <c r="N60" s="908" t="s">
        <v>8</v>
      </c>
      <c r="O60" s="935">
        <f>IF(M60="","",('XM.FILE GOC'!$G$90-M60)*3234)</f>
        <v>1455.3</v>
      </c>
      <c r="P60" s="909" t="s">
        <v>10</v>
      </c>
      <c r="Q60" s="1747">
        <f>'XM.FILE GOC'!AK90</f>
        <v>0</v>
      </c>
      <c r="R60" s="969"/>
      <c r="S60" s="970">
        <f>'XM.FILE GOC'!AN90</f>
        <v>1455.3</v>
      </c>
      <c r="T60" s="971" t="s">
        <v>10</v>
      </c>
      <c r="U60" s="914">
        <f>IF(Q60&gt;44.99%,"",'3.XT-C KH'!U63)</f>
        <v>0</v>
      </c>
      <c r="V60" s="908" t="s">
        <v>8</v>
      </c>
      <c r="W60" s="935">
        <f>IF(U60="","",('XM.FILE GOC'!$G$90-U60)*3234)</f>
        <v>1455.3</v>
      </c>
      <c r="X60" s="909" t="s">
        <v>10</v>
      </c>
      <c r="Y60" s="1747">
        <f>'XM.FILE GOC'!AR90</f>
        <v>0</v>
      </c>
      <c r="Z60" s="969"/>
      <c r="AA60" s="970">
        <f>'XM.FILE GOC'!AU90</f>
        <v>1455.3</v>
      </c>
      <c r="AB60" s="971" t="s">
        <v>10</v>
      </c>
      <c r="AC60" s="914">
        <f>IF(Y60&gt;44.99%,"",'3.XT-C KH'!AC63)</f>
        <v>0</v>
      </c>
      <c r="AD60" s="908" t="s">
        <v>8</v>
      </c>
      <c r="AE60" s="935">
        <f>IF(AC60="","",('XM.FILE GOC'!$G$90-AC60)*3234)</f>
        <v>1455.3</v>
      </c>
      <c r="AF60" s="909" t="s">
        <v>10</v>
      </c>
      <c r="AG60" s="2450"/>
    </row>
    <row r="61" spans="1:67" ht="38.25" customHeight="1">
      <c r="A61" s="2392">
        <v>8</v>
      </c>
      <c r="B61" s="3239" t="s">
        <v>1583</v>
      </c>
      <c r="C61" s="3240"/>
      <c r="D61" s="3240"/>
      <c r="E61" s="3241"/>
      <c r="F61" s="632" t="s">
        <v>6</v>
      </c>
      <c r="G61" s="897" t="str">
        <f>'XM.FILE GOC'!$E$91</f>
        <v>10~20</v>
      </c>
      <c r="H61" s="2202" t="str">
        <f>'XM.FILE GOC'!$F$91</f>
        <v>(15±5)</v>
      </c>
      <c r="I61" s="2714">
        <f>'XM.FILE GOC'!AD91</f>
        <v>0</v>
      </c>
      <c r="J61" s="969"/>
      <c r="K61" s="970">
        <f>'XM.FILE GOC'!AG91</f>
        <v>504.15</v>
      </c>
      <c r="L61" s="971" t="s">
        <v>10</v>
      </c>
      <c r="M61" s="914">
        <f>IF(I61&gt;7.99%,"",'3.XT-C KH'!M64)</f>
        <v>0</v>
      </c>
      <c r="N61" s="908" t="s">
        <v>8</v>
      </c>
      <c r="O61" s="1588">
        <f>IF(M61="","",('XM.FILE GOC'!$G$91-M61)*3361)</f>
        <v>504.15</v>
      </c>
      <c r="P61" s="909" t="s">
        <v>10</v>
      </c>
      <c r="Q61" s="2714">
        <f>'XM.FILE GOC'!AK91</f>
        <v>0</v>
      </c>
      <c r="R61" s="969"/>
      <c r="S61" s="970">
        <f>'XM.FILE GOC'!AN91</f>
        <v>504.15</v>
      </c>
      <c r="T61" s="971" t="s">
        <v>10</v>
      </c>
      <c r="U61" s="914">
        <f>IF(Q61&gt;7.99%,"",'3.XT-C KH'!U64)</f>
        <v>0</v>
      </c>
      <c r="V61" s="908" t="s">
        <v>8</v>
      </c>
      <c r="W61" s="1588">
        <f>IF(U61="","",('XM.FILE GOC'!$G$91-U61)*3361)</f>
        <v>504.15</v>
      </c>
      <c r="X61" s="909" t="s">
        <v>10</v>
      </c>
      <c r="Y61" s="2714">
        <f>'XM.FILE GOC'!AR91</f>
        <v>0</v>
      </c>
      <c r="Z61" s="969"/>
      <c r="AA61" s="970">
        <f>'XM.FILE GOC'!AU91</f>
        <v>504.15</v>
      </c>
      <c r="AB61" s="971" t="s">
        <v>10</v>
      </c>
      <c r="AC61" s="914">
        <f>IF(Y61&gt;7.99%,"",'3.XT-C KH'!AC64)</f>
        <v>0</v>
      </c>
      <c r="AD61" s="908" t="s">
        <v>8</v>
      </c>
      <c r="AE61" s="1588">
        <f>IF(AC61="","",('XM.FILE GOC'!$G$91-AC61)*3361)</f>
        <v>504.15</v>
      </c>
      <c r="AF61" s="909" t="s">
        <v>10</v>
      </c>
      <c r="AG61" s="2396" t="s">
        <v>43</v>
      </c>
    </row>
    <row r="62" spans="1:67" ht="42.75" customHeight="1">
      <c r="A62" s="2680">
        <v>9</v>
      </c>
      <c r="B62" s="3239" t="s">
        <v>1584</v>
      </c>
      <c r="C62" s="3240"/>
      <c r="D62" s="3240"/>
      <c r="E62" s="3241"/>
      <c r="F62" s="632" t="s">
        <v>6</v>
      </c>
      <c r="G62" s="897" t="str">
        <f>'XM.FILE GOC'!$E$92</f>
        <v>40~50</v>
      </c>
      <c r="H62" s="2202" t="str">
        <f>'XM.FILE GOC'!$F$92</f>
        <v>(45±5)</v>
      </c>
      <c r="I62" s="1747">
        <f>'XM.FILE GOC'!AD92</f>
        <v>0</v>
      </c>
      <c r="J62" s="969"/>
      <c r="K62" s="970">
        <f>'XM.FILE GOC'!AG92</f>
        <v>1512.45</v>
      </c>
      <c r="L62" s="971" t="s">
        <v>10</v>
      </c>
      <c r="M62" s="914">
        <f>IF(I62&gt;44.99%,"",'3.XT-C KH'!M65)</f>
        <v>0</v>
      </c>
      <c r="N62" s="908" t="s">
        <v>8</v>
      </c>
      <c r="O62" s="1588">
        <f>IF(M62="","",('XM.FILE GOC'!$G$92-M62)*3361)</f>
        <v>1512.45</v>
      </c>
      <c r="P62" s="909" t="s">
        <v>10</v>
      </c>
      <c r="Q62" s="1747">
        <f>'XM.FILE GOC'!AK92</f>
        <v>0</v>
      </c>
      <c r="R62" s="969"/>
      <c r="S62" s="970">
        <f>'XM.FILE GOC'!AN92</f>
        <v>1512.45</v>
      </c>
      <c r="T62" s="971" t="s">
        <v>10</v>
      </c>
      <c r="U62" s="914">
        <f>IF(Q62&gt;44.99%,"",'3.XT-C KH'!U65)</f>
        <v>0</v>
      </c>
      <c r="V62" s="908" t="s">
        <v>8</v>
      </c>
      <c r="W62" s="1588">
        <f>IF(U62="","",('XM.FILE GOC'!$G$92-U62)*3361)</f>
        <v>1512.45</v>
      </c>
      <c r="X62" s="909" t="s">
        <v>10</v>
      </c>
      <c r="Y62" s="1747">
        <f>'XM.FILE GOC'!AR92</f>
        <v>0</v>
      </c>
      <c r="Z62" s="969"/>
      <c r="AA62" s="970">
        <f>'XM.FILE GOC'!AU92</f>
        <v>1512.45</v>
      </c>
      <c r="AB62" s="971" t="s">
        <v>10</v>
      </c>
      <c r="AC62" s="914">
        <f>IF(Y62&gt;44.99%,"",'3.XT-C KH'!AC65)</f>
        <v>0</v>
      </c>
      <c r="AD62" s="908" t="s">
        <v>8</v>
      </c>
      <c r="AE62" s="1588">
        <f>IF(AC62="","",('XM.FILE GOC'!$G$92-AC62)*3361)</f>
        <v>1512.45</v>
      </c>
      <c r="AF62" s="909" t="s">
        <v>10</v>
      </c>
      <c r="AG62" s="2451"/>
    </row>
    <row r="63" spans="1:67" ht="42.75" customHeight="1">
      <c r="A63" s="2677">
        <v>10</v>
      </c>
      <c r="B63" s="3236" t="s">
        <v>1585</v>
      </c>
      <c r="C63" s="3237"/>
      <c r="D63" s="3237"/>
      <c r="E63" s="3238"/>
      <c r="F63" s="632" t="s">
        <v>6</v>
      </c>
      <c r="G63" s="897" t="str">
        <f>'XM.FILE GOC'!$E$93</f>
        <v>40~50</v>
      </c>
      <c r="H63" s="2202" t="str">
        <f>'XM.FILE GOC'!$F$93</f>
        <v>(45±5)</v>
      </c>
      <c r="I63" s="1747">
        <f>'XM.FILE GOC'!AD93</f>
        <v>0</v>
      </c>
      <c r="J63" s="969"/>
      <c r="K63" s="970">
        <f>'XM.FILE GOC'!AG93</f>
        <v>4729.05</v>
      </c>
      <c r="L63" s="971" t="s">
        <v>10</v>
      </c>
      <c r="M63" s="914">
        <f>IF(I63&gt;44.99%,"",'3.XT-C KH'!M66)</f>
        <v>0</v>
      </c>
      <c r="N63" s="910" t="s">
        <v>8</v>
      </c>
      <c r="O63" s="1588">
        <f>IF(M63="","",('XM.FILE GOC'!$G$93-M63)*10509)</f>
        <v>4729.05</v>
      </c>
      <c r="P63" s="911" t="s">
        <v>10</v>
      </c>
      <c r="Q63" s="1747">
        <f>'XM.FILE GOC'!AK93</f>
        <v>0</v>
      </c>
      <c r="R63" s="969"/>
      <c r="S63" s="970">
        <f>'XM.FILE GOC'!AN93</f>
        <v>4729.05</v>
      </c>
      <c r="T63" s="971" t="s">
        <v>10</v>
      </c>
      <c r="U63" s="914">
        <f>IF(Q63&gt;44.99%,"",'3.XT-C KH'!U66)</f>
        <v>0</v>
      </c>
      <c r="V63" s="910" t="s">
        <v>8</v>
      </c>
      <c r="W63" s="1588">
        <f>IF(U63="","",('XM.FILE GOC'!$G$93-U63)*10509)</f>
        <v>4729.05</v>
      </c>
      <c r="X63" s="911" t="s">
        <v>10</v>
      </c>
      <c r="Y63" s="1747">
        <f>'XM.FILE GOC'!AR93</f>
        <v>0</v>
      </c>
      <c r="Z63" s="969"/>
      <c r="AA63" s="970">
        <f>'XM.FILE GOC'!AU93</f>
        <v>4729.05</v>
      </c>
      <c r="AB63" s="971" t="s">
        <v>10</v>
      </c>
      <c r="AC63" s="914">
        <f>IF(Y63&gt;44.99%,"",'3.XT-C KH'!AC66)</f>
        <v>0</v>
      </c>
      <c r="AD63" s="910" t="s">
        <v>8</v>
      </c>
      <c r="AE63" s="1588">
        <f>IF(AC63="","",('XM.FILE GOC'!$G$93-AC63)*10509)</f>
        <v>4729.05</v>
      </c>
      <c r="AF63" s="911" t="s">
        <v>10</v>
      </c>
      <c r="AG63" s="68" t="s">
        <v>43</v>
      </c>
    </row>
    <row r="64" spans="1:67" ht="42.75" customHeight="1">
      <c r="A64" s="2680">
        <v>11</v>
      </c>
      <c r="B64" s="3264" t="s">
        <v>947</v>
      </c>
      <c r="C64" s="3265" t="s">
        <v>947</v>
      </c>
      <c r="D64" s="3265" t="s">
        <v>947</v>
      </c>
      <c r="E64" s="3266" t="s">
        <v>947</v>
      </c>
      <c r="F64" s="632" t="s">
        <v>6</v>
      </c>
      <c r="G64" s="897" t="str">
        <f>'XM.FILE GOC'!$E$94</f>
        <v>0.5~1.0</v>
      </c>
      <c r="H64" s="2202" t="str">
        <f>'XM.FILE GOC'!$F$94</f>
        <v>(0.7±0.1)</v>
      </c>
      <c r="I64" s="2210">
        <f>'XM.FILE GOC'!AD94</f>
        <v>0</v>
      </c>
      <c r="J64" s="969" t="s">
        <v>8</v>
      </c>
      <c r="K64" s="973">
        <f>'XM.FILE GOC'!AG94</f>
        <v>20.026490066225165</v>
      </c>
      <c r="L64" s="974" t="s">
        <v>10</v>
      </c>
      <c r="M64" s="2399">
        <f>IF(I64&gt;0.99%,"",'3.XT-C KH'!M67)</f>
        <v>0</v>
      </c>
      <c r="N64" s="2277" t="s">
        <v>8</v>
      </c>
      <c r="O64" s="2400">
        <f>IF(M64="","",('XM.FILE GOC'!$G$94-M64)*2808)</f>
        <v>19.655999999999999</v>
      </c>
      <c r="P64" s="2279" t="s">
        <v>10</v>
      </c>
      <c r="Q64" s="2210">
        <f>'XM.FILE GOC'!AK94</f>
        <v>0</v>
      </c>
      <c r="R64" s="969" t="s">
        <v>8</v>
      </c>
      <c r="S64" s="973">
        <f>'XM.FILE GOC'!AN94</f>
        <v>20.026490066225165</v>
      </c>
      <c r="T64" s="974" t="s">
        <v>10</v>
      </c>
      <c r="U64" s="2399">
        <f>IF(Q64&gt;0.99%,"",'3.XT-C KH'!U67)</f>
        <v>0</v>
      </c>
      <c r="V64" s="2277" t="s">
        <v>8</v>
      </c>
      <c r="W64" s="2400">
        <f>IF(U64="","",('XM.FILE GOC'!$G$94-U64)*2808)</f>
        <v>19.655999999999999</v>
      </c>
      <c r="X64" s="2279" t="s">
        <v>10</v>
      </c>
      <c r="Y64" s="2210">
        <f>'XM.FILE GOC'!AR94</f>
        <v>0</v>
      </c>
      <c r="Z64" s="969" t="s">
        <v>8</v>
      </c>
      <c r="AA64" s="973">
        <f>'XM.FILE GOC'!AU94</f>
        <v>20.026490066225165</v>
      </c>
      <c r="AB64" s="974" t="s">
        <v>10</v>
      </c>
      <c r="AC64" s="2399">
        <f>IF(Y64&gt;0.99%,"",'3.XT-C KH'!AC67)</f>
        <v>0</v>
      </c>
      <c r="AD64" s="2277" t="s">
        <v>8</v>
      </c>
      <c r="AE64" s="2400">
        <f>IF(AC64="","",('XM.FILE GOC'!$G$94-AC64)*2808)</f>
        <v>19.655999999999999</v>
      </c>
      <c r="AF64" s="2279" t="s">
        <v>10</v>
      </c>
      <c r="AG64" s="2385" t="s">
        <v>44</v>
      </c>
    </row>
    <row r="65" spans="1:33" ht="42.75" customHeight="1">
      <c r="A65" s="2677">
        <v>12</v>
      </c>
      <c r="B65" s="3230" t="s">
        <v>73</v>
      </c>
      <c r="C65" s="3231"/>
      <c r="D65" s="3231"/>
      <c r="E65" s="3232"/>
      <c r="F65" s="2829" t="s">
        <v>3</v>
      </c>
      <c r="G65" s="2010" t="str">
        <f>'XM.GUI MAIL'!$E$95</f>
        <v>5~8</v>
      </c>
      <c r="H65" s="2828" t="str">
        <f>'XM.GUI MAIL'!$F$95</f>
        <v>(6±0.5)</v>
      </c>
      <c r="I65" s="1833">
        <f>'XM.FILE GOC'!AD95</f>
        <v>1.4</v>
      </c>
      <c r="J65" s="969" t="s">
        <v>8</v>
      </c>
      <c r="K65" s="970">
        <f>'XM.FILE GOC'!AG95</f>
        <v>172.23174736842103</v>
      </c>
      <c r="L65" s="974" t="s">
        <v>10</v>
      </c>
      <c r="M65" s="2236">
        <f>IF(I65&gt;5.99,"",'3.XT-C KH'!M68)</f>
        <v>0</v>
      </c>
      <c r="N65" s="908" t="s">
        <v>8</v>
      </c>
      <c r="O65" s="935">
        <f>IF(M65="","",('XM.FILE GOC'!$G$95-M65)*4042/95*1.028)</f>
        <v>262.43216842105267</v>
      </c>
      <c r="P65" s="909" t="s">
        <v>10</v>
      </c>
      <c r="Q65" s="1833">
        <f>'XM.FILE GOC'!AK95</f>
        <v>1.4</v>
      </c>
      <c r="R65" s="969" t="s">
        <v>8</v>
      </c>
      <c r="S65" s="970">
        <f>'XM.FILE GOC'!AN95</f>
        <v>172.23174736842103</v>
      </c>
      <c r="T65" s="974" t="s">
        <v>10</v>
      </c>
      <c r="U65" s="2236">
        <f>IF(Q65&gt;5.99,"",'3.XT-C KH'!U68)</f>
        <v>0</v>
      </c>
      <c r="V65" s="908" t="s">
        <v>8</v>
      </c>
      <c r="W65" s="935">
        <f>IF(U65="","",('XM.FILE GOC'!$G$95-U65)*4042/95*1.028)</f>
        <v>262.43216842105267</v>
      </c>
      <c r="X65" s="909" t="s">
        <v>10</v>
      </c>
      <c r="Y65" s="1833">
        <f>'XM.FILE GOC'!AR95</f>
        <v>1.4</v>
      </c>
      <c r="Z65" s="969" t="s">
        <v>8</v>
      </c>
      <c r="AA65" s="970">
        <f>'XM.FILE GOC'!AU95</f>
        <v>172.23174736842103</v>
      </c>
      <c r="AB65" s="974" t="s">
        <v>10</v>
      </c>
      <c r="AC65" s="2236">
        <f>IF(Y65&gt;5.99,"",'3.XT-C KH'!AC68)</f>
        <v>0</v>
      </c>
      <c r="AD65" s="908" t="s">
        <v>8</v>
      </c>
      <c r="AE65" s="935">
        <f>IF(AC65="","",('XM.FILE GOC'!$G$95-AC65)*4042/95*1.028)</f>
        <v>262.43216842105267</v>
      </c>
      <c r="AF65" s="909" t="s">
        <v>10</v>
      </c>
      <c r="AG65" s="2383"/>
    </row>
    <row r="66" spans="1:33" ht="42.75" customHeight="1">
      <c r="A66" s="2680">
        <v>13</v>
      </c>
      <c r="B66" s="3233"/>
      <c r="C66" s="3234"/>
      <c r="D66" s="3234"/>
      <c r="E66" s="3235"/>
      <c r="F66" s="2829" t="s">
        <v>5</v>
      </c>
      <c r="G66" s="2010" t="str">
        <f>'XM.GUI MAIL'!$E$96</f>
        <v>1.8~2.4</v>
      </c>
      <c r="H66" s="2828" t="str">
        <f>'XM.GUI MAIL'!$F$96</f>
        <v>(2.1±0.1)</v>
      </c>
      <c r="I66" s="1761">
        <f>'XM.FILE GOC'!AD96</f>
        <v>0</v>
      </c>
      <c r="J66" s="969" t="s">
        <v>8</v>
      </c>
      <c r="K66" s="973"/>
      <c r="L66" s="974"/>
      <c r="M66" s="915"/>
      <c r="N66" s="946"/>
      <c r="O66" s="1590"/>
      <c r="P66" s="916"/>
      <c r="Q66" s="1761">
        <f>'XM.FILE GOC'!AK96</f>
        <v>0</v>
      </c>
      <c r="R66" s="969" t="s">
        <v>8</v>
      </c>
      <c r="S66" s="973">
        <f>'XM.FILE GOC'!AN96</f>
        <v>0</v>
      </c>
      <c r="T66" s="974" t="s">
        <v>10</v>
      </c>
      <c r="U66" s="915"/>
      <c r="V66" s="946"/>
      <c r="W66" s="1590"/>
      <c r="X66" s="916"/>
      <c r="Y66" s="1761">
        <f>'XM.FILE GOC'!AR96</f>
        <v>0</v>
      </c>
      <c r="Z66" s="969" t="s">
        <v>8</v>
      </c>
      <c r="AA66" s="973">
        <f>'XM.FILE GOC'!AU96</f>
        <v>0</v>
      </c>
      <c r="AB66" s="974" t="s">
        <v>10</v>
      </c>
      <c r="AC66" s="915"/>
      <c r="AD66" s="946"/>
      <c r="AE66" s="1590"/>
      <c r="AF66" s="916"/>
      <c r="AG66" s="2383"/>
    </row>
    <row r="67" spans="1:33" ht="36.75" customHeight="1">
      <c r="A67" s="2392"/>
      <c r="B67" s="2421" t="s">
        <v>1298</v>
      </c>
      <c r="C67" s="2422"/>
      <c r="D67" s="2422"/>
      <c r="E67" s="2422"/>
      <c r="F67" s="2422"/>
      <c r="G67" s="2422"/>
      <c r="H67" s="2422"/>
      <c r="I67" s="2422"/>
      <c r="J67" s="2422"/>
      <c r="K67" s="2422"/>
      <c r="L67" s="2422"/>
      <c r="M67" s="2422"/>
      <c r="N67" s="2422"/>
      <c r="O67" s="2422"/>
      <c r="P67" s="2422"/>
      <c r="Q67" s="2422"/>
      <c r="R67" s="2422"/>
      <c r="S67" s="2422"/>
      <c r="T67" s="2422"/>
      <c r="U67" s="2422"/>
      <c r="V67" s="2422"/>
      <c r="W67" s="2422"/>
      <c r="X67" s="2422"/>
      <c r="Y67" s="2422"/>
      <c r="Z67" s="2422"/>
      <c r="AA67" s="2422"/>
      <c r="AB67" s="2422"/>
      <c r="AC67" s="2422"/>
      <c r="AD67" s="2422"/>
      <c r="AE67" s="2422"/>
      <c r="AF67" s="2422"/>
      <c r="AG67" s="2423"/>
    </row>
    <row r="68" spans="1:33" ht="53.25" customHeight="1">
      <c r="A68" s="2392" t="s">
        <v>7</v>
      </c>
      <c r="B68" s="3310" t="s">
        <v>948</v>
      </c>
      <c r="C68" s="3311"/>
      <c r="D68" s="3311"/>
      <c r="E68" s="3312"/>
      <c r="F68" s="2388" t="s">
        <v>949</v>
      </c>
      <c r="G68" s="2388" t="s">
        <v>1296</v>
      </c>
      <c r="H68" s="2204" t="s">
        <v>1289</v>
      </c>
      <c r="I68" s="3229" t="s">
        <v>950</v>
      </c>
      <c r="J68" s="3228"/>
      <c r="K68" s="3229" t="s">
        <v>951</v>
      </c>
      <c r="L68" s="3228"/>
      <c r="M68" s="917"/>
      <c r="N68" s="918"/>
      <c r="O68" s="918"/>
      <c r="P68" s="919"/>
      <c r="Q68" s="3229" t="s">
        <v>950</v>
      </c>
      <c r="R68" s="3228"/>
      <c r="S68" s="3229" t="s">
        <v>951</v>
      </c>
      <c r="T68" s="3228"/>
      <c r="U68" s="917"/>
      <c r="V68" s="918"/>
      <c r="W68" s="918"/>
      <c r="X68" s="919"/>
      <c r="Y68" s="3229" t="s">
        <v>950</v>
      </c>
      <c r="Z68" s="3228"/>
      <c r="AA68" s="3229" t="s">
        <v>951</v>
      </c>
      <c r="AB68" s="3228"/>
      <c r="AC68" s="917"/>
      <c r="AD68" s="918"/>
      <c r="AE68" s="918"/>
      <c r="AF68" s="919"/>
      <c r="AG68" s="10"/>
    </row>
    <row r="69" spans="1:33" ht="49.5" customHeight="1">
      <c r="A69" s="2392">
        <v>1</v>
      </c>
      <c r="B69" s="3310" t="s">
        <v>952</v>
      </c>
      <c r="C69" s="3311"/>
      <c r="D69" s="3311"/>
      <c r="E69" s="3312"/>
      <c r="F69" s="976" t="s">
        <v>953</v>
      </c>
      <c r="G69" s="897" t="str">
        <f>'XM.FILE GOC'!$E$105</f>
        <v>50~70</v>
      </c>
      <c r="H69" s="2202" t="str">
        <f>'XM.FILE GOC'!$F$105</f>
        <v>(60±5)</v>
      </c>
      <c r="I69" s="3195">
        <f>'3.XT-C KH'!I74</f>
        <v>0</v>
      </c>
      <c r="J69" s="3121"/>
      <c r="K69" s="3121">
        <f>'3.XT-C KH'!K74</f>
        <v>0</v>
      </c>
      <c r="L69" s="3121"/>
      <c r="M69" s="920"/>
      <c r="N69" s="921"/>
      <c r="O69" s="921"/>
      <c r="P69" s="922"/>
      <c r="Q69" s="3121">
        <f>'3.XT-C KH'!Q74</f>
        <v>0</v>
      </c>
      <c r="R69" s="3121"/>
      <c r="S69" s="3121">
        <f>'3.XT-C KH'!S74:T74</f>
        <v>0</v>
      </c>
      <c r="T69" s="3121"/>
      <c r="U69" s="920"/>
      <c r="V69" s="921"/>
      <c r="W69" s="921"/>
      <c r="X69" s="922"/>
      <c r="Y69" s="3121">
        <f>'3.XT-C KH'!Y74</f>
        <v>0</v>
      </c>
      <c r="Z69" s="3121"/>
      <c r="AA69" s="3121">
        <f>'3.XT-C KH'!AA74</f>
        <v>0</v>
      </c>
      <c r="AB69" s="3121"/>
      <c r="AC69" s="920"/>
      <c r="AD69" s="921"/>
      <c r="AE69" s="921"/>
      <c r="AF69" s="922"/>
      <c r="AG69" s="2395"/>
    </row>
    <row r="70" spans="1:33" ht="49.5" customHeight="1">
      <c r="A70" s="2392">
        <v>2</v>
      </c>
      <c r="B70" s="3310" t="s">
        <v>954</v>
      </c>
      <c r="C70" s="3311"/>
      <c r="D70" s="3311"/>
      <c r="E70" s="3312"/>
      <c r="F70" s="976" t="s">
        <v>953</v>
      </c>
      <c r="G70" s="897" t="str">
        <f>'XM.FILE GOC'!$E$106</f>
        <v>50~70</v>
      </c>
      <c r="H70" s="2202" t="str">
        <f>'XM.FILE GOC'!$F$106</f>
        <v>(60±5)</v>
      </c>
      <c r="I70" s="3195">
        <f>'3.XT-C KH'!I75</f>
        <v>0</v>
      </c>
      <c r="J70" s="3121"/>
      <c r="K70" s="3121">
        <f>'3.XT-C KH'!K75</f>
        <v>0</v>
      </c>
      <c r="L70" s="3121"/>
      <c r="M70" s="920"/>
      <c r="N70" s="921"/>
      <c r="O70" s="921"/>
      <c r="P70" s="922"/>
      <c r="Q70" s="3121">
        <f>'3.XT-C KH'!Q75</f>
        <v>0</v>
      </c>
      <c r="R70" s="3121"/>
      <c r="S70" s="3121">
        <f>'3.XT-C KH'!S75:T75</f>
        <v>0</v>
      </c>
      <c r="T70" s="3121"/>
      <c r="U70" s="920"/>
      <c r="V70" s="921"/>
      <c r="W70" s="921"/>
      <c r="X70" s="922"/>
      <c r="Y70" s="3121">
        <f>'3.XT-C KH'!Y75</f>
        <v>0</v>
      </c>
      <c r="Z70" s="3121"/>
      <c r="AA70" s="3121">
        <f>'3.XT-C KH'!AA75</f>
        <v>0</v>
      </c>
      <c r="AB70" s="3121"/>
      <c r="AC70" s="920"/>
      <c r="AD70" s="921"/>
      <c r="AE70" s="921"/>
      <c r="AF70" s="922"/>
      <c r="AG70" s="2395"/>
    </row>
    <row r="71" spans="1:33" ht="49.5" customHeight="1">
      <c r="A71" s="2392">
        <v>3</v>
      </c>
      <c r="B71" s="3310" t="s">
        <v>955</v>
      </c>
      <c r="C71" s="3311"/>
      <c r="D71" s="3311"/>
      <c r="E71" s="3312"/>
      <c r="F71" s="976" t="s">
        <v>953</v>
      </c>
      <c r="G71" s="897" t="str">
        <f>'XM.FILE GOC'!$E$107</f>
        <v>50~70</v>
      </c>
      <c r="H71" s="2202" t="str">
        <f>'XM.FILE GOC'!$F$107</f>
        <v>(60±5)</v>
      </c>
      <c r="I71" s="3195">
        <f>'3.XT-C KH'!I76</f>
        <v>0</v>
      </c>
      <c r="J71" s="3121"/>
      <c r="K71" s="3121">
        <f>'3.XT-C KH'!K76</f>
        <v>0</v>
      </c>
      <c r="L71" s="3121"/>
      <c r="M71" s="920"/>
      <c r="N71" s="921"/>
      <c r="O71" s="921"/>
      <c r="P71" s="922"/>
      <c r="Q71" s="3121">
        <f>'3.XT-C KH'!Q76</f>
        <v>0</v>
      </c>
      <c r="R71" s="3121"/>
      <c r="S71" s="3121">
        <f>'3.XT-C KH'!S76:T76</f>
        <v>0</v>
      </c>
      <c r="T71" s="3121"/>
      <c r="U71" s="920"/>
      <c r="V71" s="921"/>
      <c r="W71" s="921"/>
      <c r="X71" s="922"/>
      <c r="Y71" s="3121">
        <f>'3.XT-C KH'!Y76</f>
        <v>0</v>
      </c>
      <c r="Z71" s="3121"/>
      <c r="AA71" s="3121">
        <f>'3.XT-C KH'!AA76</f>
        <v>0</v>
      </c>
      <c r="AB71" s="3121"/>
      <c r="AC71" s="920"/>
      <c r="AD71" s="921"/>
      <c r="AE71" s="921"/>
      <c r="AF71" s="922"/>
      <c r="AG71" s="2395"/>
    </row>
    <row r="72" spans="1:33" ht="49.5" customHeight="1">
      <c r="A72" s="2392">
        <v>4</v>
      </c>
      <c r="B72" s="3310" t="s">
        <v>956</v>
      </c>
      <c r="C72" s="3311"/>
      <c r="D72" s="3311"/>
      <c r="E72" s="3312"/>
      <c r="F72" s="976" t="s">
        <v>953</v>
      </c>
      <c r="G72" s="897" t="str">
        <f>'XM.FILE GOC'!$E$108</f>
        <v>50~70</v>
      </c>
      <c r="H72" s="2202" t="str">
        <f>'XM.FILE GOC'!$F$108</f>
        <v>(60±5)</v>
      </c>
      <c r="I72" s="3195">
        <f>'3.XT-C KH'!I77</f>
        <v>0</v>
      </c>
      <c r="J72" s="3121"/>
      <c r="K72" s="3121">
        <f>'3.XT-C KH'!K77</f>
        <v>0</v>
      </c>
      <c r="L72" s="3121"/>
      <c r="M72" s="920"/>
      <c r="N72" s="921"/>
      <c r="O72" s="921"/>
      <c r="P72" s="922"/>
      <c r="Q72" s="3121">
        <f>'3.XT-C KH'!Q77</f>
        <v>0</v>
      </c>
      <c r="R72" s="3121"/>
      <c r="S72" s="3121">
        <f>'3.XT-C KH'!S77:T77</f>
        <v>0</v>
      </c>
      <c r="T72" s="3121"/>
      <c r="U72" s="920"/>
      <c r="V72" s="921"/>
      <c r="W72" s="921"/>
      <c r="X72" s="922"/>
      <c r="Y72" s="3121">
        <f>'3.XT-C KH'!Y77</f>
        <v>0</v>
      </c>
      <c r="Z72" s="3121"/>
      <c r="AA72" s="3121">
        <f>'3.XT-C KH'!AA77</f>
        <v>0</v>
      </c>
      <c r="AB72" s="3121"/>
      <c r="AC72" s="920"/>
      <c r="AD72" s="921"/>
      <c r="AE72" s="921"/>
      <c r="AF72" s="922"/>
      <c r="AG72" s="2395"/>
    </row>
    <row r="73" spans="1:33" ht="49.5" customHeight="1">
      <c r="A73" s="2392">
        <v>5</v>
      </c>
      <c r="B73" s="3258" t="s">
        <v>957</v>
      </c>
      <c r="C73" s="3259"/>
      <c r="D73" s="3259"/>
      <c r="E73" s="3926"/>
      <c r="F73" s="2855" t="s">
        <v>953</v>
      </c>
      <c r="G73" s="2853" t="str">
        <f>'XM.FILE GOC'!$E$109</f>
        <v>22~28</v>
      </c>
      <c r="H73" s="2854" t="str">
        <f>'XM.FILE GOC'!$F$109</f>
        <v>(25±3)</v>
      </c>
      <c r="I73" s="3927">
        <f>'3.XT-C KH'!I78</f>
        <v>0</v>
      </c>
      <c r="J73" s="3928"/>
      <c r="K73" s="3928">
        <f>'3.XT-C KH'!K78</f>
        <v>0</v>
      </c>
      <c r="L73" s="3928"/>
      <c r="M73" s="920"/>
      <c r="N73" s="921"/>
      <c r="O73" s="921"/>
      <c r="P73" s="922"/>
      <c r="Q73" s="3928">
        <f>'3.XT-C KH'!Q78</f>
        <v>0</v>
      </c>
      <c r="R73" s="3928"/>
      <c r="S73" s="3928">
        <f>'3.XT-C KH'!S78:T78</f>
        <v>0</v>
      </c>
      <c r="T73" s="3928"/>
      <c r="U73" s="920"/>
      <c r="V73" s="921"/>
      <c r="W73" s="921"/>
      <c r="X73" s="922"/>
      <c r="Y73" s="3928">
        <f>'3.XT-C KH'!Y78</f>
        <v>0</v>
      </c>
      <c r="Z73" s="3928"/>
      <c r="AA73" s="3928">
        <f>'3.XT-C KH'!AA78</f>
        <v>0</v>
      </c>
      <c r="AB73" s="3928"/>
      <c r="AC73" s="920"/>
      <c r="AD73" s="921"/>
      <c r="AE73" s="921"/>
      <c r="AF73" s="922"/>
      <c r="AG73" s="2395"/>
    </row>
    <row r="74" spans="1:33" ht="49.5" customHeight="1">
      <c r="A74" s="1575">
        <v>6</v>
      </c>
      <c r="B74" s="3279" t="s">
        <v>958</v>
      </c>
      <c r="C74" s="3280"/>
      <c r="D74" s="3280"/>
      <c r="E74" s="3281"/>
      <c r="F74" s="2830" t="s">
        <v>953</v>
      </c>
      <c r="G74" s="2010" t="str">
        <f>'XM.FILE GOC'!$E$110</f>
        <v>30~40</v>
      </c>
      <c r="H74" s="2828" t="str">
        <f>'XM.FILE GOC'!$F$110</f>
        <v>(34±3)</v>
      </c>
      <c r="I74" s="3195">
        <f>'3.XT-C KH'!I79</f>
        <v>0</v>
      </c>
      <c r="J74" s="3121"/>
      <c r="K74" s="3121">
        <f>'3.XT-C KH'!K79</f>
        <v>0</v>
      </c>
      <c r="L74" s="3121"/>
      <c r="M74" s="920"/>
      <c r="N74" s="921"/>
      <c r="O74" s="921"/>
      <c r="P74" s="922"/>
      <c r="Q74" s="3121">
        <f>'3.XT-C KH'!Q79</f>
        <v>0</v>
      </c>
      <c r="R74" s="3121"/>
      <c r="S74" s="3121">
        <f>'3.XT-C KH'!S79:T79</f>
        <v>0</v>
      </c>
      <c r="T74" s="3121"/>
      <c r="U74" s="920"/>
      <c r="V74" s="921"/>
      <c r="W74" s="921"/>
      <c r="X74" s="922"/>
      <c r="Y74" s="3121">
        <f>'3.XT-C KH'!Y79</f>
        <v>0</v>
      </c>
      <c r="Z74" s="3121"/>
      <c r="AA74" s="3121">
        <f>'3.XT-C KH'!AA79</f>
        <v>0</v>
      </c>
      <c r="AB74" s="3121"/>
      <c r="AC74" s="921"/>
      <c r="AD74" s="921"/>
      <c r="AE74" s="921"/>
      <c r="AF74" s="922"/>
      <c r="AG74" s="2395"/>
    </row>
    <row r="75" spans="1:33" ht="49.5" customHeight="1">
      <c r="A75" s="2392">
        <v>7</v>
      </c>
      <c r="B75" s="3320" t="s">
        <v>959</v>
      </c>
      <c r="C75" s="3321"/>
      <c r="D75" s="3321"/>
      <c r="E75" s="3322"/>
      <c r="F75" s="1578" t="s">
        <v>953</v>
      </c>
      <c r="G75" s="1579" t="str">
        <f>'XM.FILE GOC'!$E$111</f>
        <v>55~65</v>
      </c>
      <c r="H75" s="2218" t="str">
        <f>'XM.FILE GOC'!$F$111</f>
        <v>(60±5)</v>
      </c>
      <c r="I75" s="3323">
        <f>'3.XT-C KH'!I80</f>
        <v>0</v>
      </c>
      <c r="J75" s="3324"/>
      <c r="K75" s="3324">
        <f>'3.XT-C KH'!K80</f>
        <v>0</v>
      </c>
      <c r="L75" s="3324"/>
      <c r="M75" s="920"/>
      <c r="N75" s="921"/>
      <c r="O75" s="921"/>
      <c r="P75" s="922"/>
      <c r="Q75" s="3324">
        <f>'3.XT-C KH'!Q80</f>
        <v>0</v>
      </c>
      <c r="R75" s="3324"/>
      <c r="S75" s="3324">
        <f>'3.XT-C KH'!S80</f>
        <v>0</v>
      </c>
      <c r="T75" s="3324"/>
      <c r="U75" s="920"/>
      <c r="V75" s="921"/>
      <c r="W75" s="921"/>
      <c r="X75" s="922"/>
      <c r="Y75" s="3324">
        <f>'3.XT-C KH'!Y80</f>
        <v>0</v>
      </c>
      <c r="Z75" s="3324"/>
      <c r="AA75" s="3324">
        <f>'3.XT-C KH'!AA80</f>
        <v>0</v>
      </c>
      <c r="AB75" s="3324"/>
      <c r="AC75" s="920"/>
      <c r="AD75" s="921"/>
      <c r="AE75" s="921"/>
      <c r="AF75" s="922"/>
      <c r="AG75" s="2395"/>
    </row>
    <row r="76" spans="1:33" ht="49.5" customHeight="1">
      <c r="A76" s="2392">
        <v>8</v>
      </c>
      <c r="B76" s="3310" t="s">
        <v>960</v>
      </c>
      <c r="C76" s="3311"/>
      <c r="D76" s="3311"/>
      <c r="E76" s="3312"/>
      <c r="F76" s="976" t="s">
        <v>953</v>
      </c>
      <c r="G76" s="897" t="str">
        <f>'XM.FILE GOC'!$E$112</f>
        <v>80~100</v>
      </c>
      <c r="H76" s="2202" t="str">
        <f>'XM.FILE GOC'!$F$112</f>
        <v>(90±5)</v>
      </c>
      <c r="I76" s="3228" t="str">
        <f>'3.XT-C KH'!I81</f>
        <v>\</v>
      </c>
      <c r="J76" s="3284"/>
      <c r="K76" s="3121">
        <f>'3.XT-C KH'!K81</f>
        <v>0</v>
      </c>
      <c r="L76" s="3121"/>
      <c r="M76" s="920"/>
      <c r="N76" s="921"/>
      <c r="O76" s="921"/>
      <c r="P76" s="922"/>
      <c r="Q76" s="3284" t="str">
        <f>'3.XT-C KH'!Q81</f>
        <v>\</v>
      </c>
      <c r="R76" s="3284"/>
      <c r="S76" s="3121">
        <f>'3.XT-C KH'!S81</f>
        <v>0</v>
      </c>
      <c r="T76" s="3121"/>
      <c r="U76" s="920"/>
      <c r="V76" s="921"/>
      <c r="W76" s="921"/>
      <c r="X76" s="922"/>
      <c r="Y76" s="3284" t="str">
        <f>'3.XT-C KH'!Y81</f>
        <v>\</v>
      </c>
      <c r="Z76" s="3284"/>
      <c r="AA76" s="3121">
        <f>'3.XT-C KH'!AA81</f>
        <v>0</v>
      </c>
      <c r="AB76" s="3121"/>
      <c r="AC76" s="920"/>
      <c r="AD76" s="921"/>
      <c r="AE76" s="921"/>
      <c r="AF76" s="922"/>
      <c r="AG76" s="2395"/>
    </row>
    <row r="77" spans="1:33" ht="49.5" customHeight="1">
      <c r="A77" s="2392">
        <v>9</v>
      </c>
      <c r="B77" s="3325" t="s">
        <v>1275</v>
      </c>
      <c r="C77" s="3326"/>
      <c r="D77" s="3326"/>
      <c r="E77" s="3327"/>
      <c r="F77" s="976" t="s">
        <v>953</v>
      </c>
      <c r="G77" s="897" t="str">
        <f>'XM.FILE GOC'!$E$113</f>
        <v>40~60</v>
      </c>
      <c r="H77" s="2202" t="str">
        <f>'XM.FILE GOC'!$F$113</f>
        <v>(50±10)</v>
      </c>
      <c r="I77" s="3276">
        <f>'3.XT-C KH'!I82</f>
        <v>0</v>
      </c>
      <c r="J77" s="3277"/>
      <c r="K77" s="3277">
        <f>'3.XT-C KH'!K82</f>
        <v>0</v>
      </c>
      <c r="L77" s="3277"/>
      <c r="M77" s="920"/>
      <c r="N77" s="921"/>
      <c r="O77" s="921"/>
      <c r="P77" s="922"/>
      <c r="Q77" s="3277">
        <f>'3.XT-C KH'!Q82</f>
        <v>0</v>
      </c>
      <c r="R77" s="3277"/>
      <c r="S77" s="3277">
        <f>'3.XT-C KH'!S82</f>
        <v>0</v>
      </c>
      <c r="T77" s="3277"/>
      <c r="U77" s="920"/>
      <c r="V77" s="921"/>
      <c r="W77" s="921"/>
      <c r="X77" s="922"/>
      <c r="Y77" s="3277">
        <f>'3.XT-C KH'!Y82</f>
        <v>0</v>
      </c>
      <c r="Z77" s="3277"/>
      <c r="AA77" s="3277">
        <f>'3.XT-C KH'!AA82</f>
        <v>0</v>
      </c>
      <c r="AB77" s="3277"/>
      <c r="AC77" s="920"/>
      <c r="AD77" s="921"/>
      <c r="AE77" s="921"/>
      <c r="AF77" s="922"/>
      <c r="AG77" s="895"/>
    </row>
    <row r="78" spans="1:33" ht="49.5" customHeight="1">
      <c r="A78" s="2392">
        <v>10</v>
      </c>
      <c r="B78" s="3325" t="s">
        <v>1277</v>
      </c>
      <c r="C78" s="3326"/>
      <c r="D78" s="3326"/>
      <c r="E78" s="3327"/>
      <c r="F78" s="976" t="s">
        <v>953</v>
      </c>
      <c r="G78" s="897" t="str">
        <f>'XM.FILE GOC'!$E$114</f>
        <v>50~70</v>
      </c>
      <c r="H78" s="2202" t="str">
        <f>'XM.FILE GOC'!$F$114</f>
        <v>(60±10)</v>
      </c>
      <c r="I78" s="3276">
        <f>'3.XT-C KH'!I83</f>
        <v>0</v>
      </c>
      <c r="J78" s="3277"/>
      <c r="K78" s="3277">
        <f>'3.XT-C KH'!K83</f>
        <v>0</v>
      </c>
      <c r="L78" s="3277"/>
      <c r="M78" s="920"/>
      <c r="N78" s="921"/>
      <c r="O78" s="921"/>
      <c r="P78" s="922"/>
      <c r="Q78" s="3277">
        <f>'3.XT-C KH'!Q83</f>
        <v>0</v>
      </c>
      <c r="R78" s="3277"/>
      <c r="S78" s="3277">
        <f>'3.XT-C KH'!S83</f>
        <v>0</v>
      </c>
      <c r="T78" s="3277"/>
      <c r="U78" s="920"/>
      <c r="V78" s="921"/>
      <c r="W78" s="921"/>
      <c r="X78" s="922"/>
      <c r="Y78" s="3277">
        <f>'3.XT-C KH'!Y83</f>
        <v>0</v>
      </c>
      <c r="Z78" s="3277"/>
      <c r="AA78" s="3277">
        <f>'3.XT-C KH'!AA83</f>
        <v>0</v>
      </c>
      <c r="AB78" s="3277"/>
      <c r="AC78" s="920"/>
      <c r="AD78" s="921"/>
      <c r="AE78" s="921"/>
      <c r="AF78" s="922"/>
      <c r="AG78" s="895"/>
    </row>
    <row r="79" spans="1:33" ht="49.5" hidden="1" customHeight="1">
      <c r="A79" s="2392"/>
      <c r="B79" s="2389"/>
      <c r="C79" s="2390"/>
      <c r="D79" s="2390"/>
      <c r="E79" s="2390"/>
      <c r="F79" s="2254"/>
      <c r="G79" s="2253"/>
      <c r="H79" s="2253"/>
      <c r="I79" s="2394"/>
      <c r="J79" s="2394"/>
      <c r="K79" s="2394"/>
      <c r="L79" s="2394"/>
      <c r="M79" s="921"/>
      <c r="N79" s="921"/>
      <c r="O79" s="921"/>
      <c r="P79" s="921"/>
      <c r="Q79" s="2394"/>
      <c r="R79" s="2394"/>
      <c r="S79" s="2394"/>
      <c r="T79" s="2394"/>
      <c r="U79" s="921"/>
      <c r="V79" s="921"/>
      <c r="W79" s="921"/>
      <c r="X79" s="921"/>
      <c r="Y79" s="2394"/>
      <c r="Z79" s="2394"/>
      <c r="AA79" s="2394"/>
      <c r="AB79" s="2394"/>
      <c r="AC79" s="921"/>
      <c r="AD79" s="921"/>
      <c r="AE79" s="921"/>
      <c r="AF79" s="921"/>
      <c r="AG79" s="895"/>
    </row>
    <row r="80" spans="1:33" ht="33" customHeight="1">
      <c r="A80" s="2392"/>
      <c r="B80" s="2421" t="s">
        <v>1297</v>
      </c>
      <c r="C80" s="2422"/>
      <c r="D80" s="2422"/>
      <c r="E80" s="2422"/>
      <c r="F80" s="2422"/>
      <c r="G80" s="2422"/>
      <c r="H80" s="2422"/>
      <c r="I80" s="2422"/>
      <c r="J80" s="2422"/>
      <c r="K80" s="2422"/>
      <c r="L80" s="2422"/>
      <c r="M80" s="2422"/>
      <c r="N80" s="2422"/>
      <c r="O80" s="2422"/>
      <c r="P80" s="2422"/>
      <c r="Q80" s="2422"/>
      <c r="R80" s="2422"/>
      <c r="S80" s="2422"/>
      <c r="T80" s="2422"/>
      <c r="U80" s="2422"/>
      <c r="V80" s="2422"/>
      <c r="W80" s="2422"/>
      <c r="X80" s="2422"/>
      <c r="Y80" s="2422"/>
      <c r="Z80" s="2422"/>
      <c r="AA80" s="2422"/>
      <c r="AB80" s="2422"/>
      <c r="AC80" s="2422"/>
      <c r="AD80" s="2422"/>
      <c r="AE80" s="2422"/>
      <c r="AF80" s="2422"/>
      <c r="AG80" s="2423"/>
    </row>
    <row r="81" spans="1:33" ht="57" customHeight="1">
      <c r="A81" s="2392" t="s">
        <v>7</v>
      </c>
      <c r="B81" s="3310" t="s">
        <v>961</v>
      </c>
      <c r="C81" s="3311"/>
      <c r="D81" s="3311"/>
      <c r="E81" s="3312"/>
      <c r="F81" s="2388" t="s">
        <v>734</v>
      </c>
      <c r="G81" s="2388" t="s">
        <v>1296</v>
      </c>
      <c r="H81" s="2204" t="s">
        <v>1289</v>
      </c>
      <c r="I81" s="3227" t="s">
        <v>962</v>
      </c>
      <c r="J81" s="3227"/>
      <c r="K81" s="3227"/>
      <c r="L81" s="3228"/>
      <c r="M81" s="917"/>
      <c r="N81" s="918"/>
      <c r="O81" s="918"/>
      <c r="P81" s="919"/>
      <c r="Q81" s="3229" t="s">
        <v>962</v>
      </c>
      <c r="R81" s="3227"/>
      <c r="S81" s="3227"/>
      <c r="T81" s="3228"/>
      <c r="U81" s="917"/>
      <c r="V81" s="918"/>
      <c r="W81" s="918"/>
      <c r="X81" s="919"/>
      <c r="Y81" s="3229" t="s">
        <v>962</v>
      </c>
      <c r="Z81" s="3227"/>
      <c r="AA81" s="3227"/>
      <c r="AB81" s="3228"/>
      <c r="AC81" s="917"/>
      <c r="AD81" s="918"/>
      <c r="AE81" s="918"/>
      <c r="AF81" s="919"/>
      <c r="AG81" s="10"/>
    </row>
    <row r="82" spans="1:33" ht="53.25" customHeight="1">
      <c r="A82" s="2392">
        <v>1</v>
      </c>
      <c r="B82" s="3929" t="s">
        <v>1568</v>
      </c>
      <c r="C82" s="3930"/>
      <c r="D82" s="3930"/>
      <c r="E82" s="3931"/>
      <c r="F82" s="2827" t="s">
        <v>47</v>
      </c>
      <c r="G82" s="2010" t="str">
        <f>'XM.FILE GOC'!$E$120</f>
        <v>30~50 
(40)</v>
      </c>
      <c r="H82" s="2828" t="str">
        <f>'XM.FILE GOC'!$F$120</f>
        <v>30~50 
(40)</v>
      </c>
      <c r="I82" s="3099">
        <f>'3.XT-C KH'!I88:L88</f>
        <v>0</v>
      </c>
      <c r="J82" s="3099"/>
      <c r="K82" s="3099"/>
      <c r="L82" s="3100"/>
      <c r="M82" s="1302"/>
      <c r="N82" s="1303"/>
      <c r="O82" s="1303"/>
      <c r="P82" s="1304"/>
      <c r="Q82" s="3098">
        <f>'3.XT-C KH'!Q88:T88</f>
        <v>0</v>
      </c>
      <c r="R82" s="3099"/>
      <c r="S82" s="3099"/>
      <c r="T82" s="3099"/>
      <c r="U82" s="1302"/>
      <c r="V82" s="1303"/>
      <c r="W82" s="1303"/>
      <c r="X82" s="1304"/>
      <c r="Y82" s="3098">
        <f>'3.XT-C KH'!Y88:AB88</f>
        <v>0</v>
      </c>
      <c r="Z82" s="3099"/>
      <c r="AA82" s="3099"/>
      <c r="AB82" s="3100"/>
      <c r="AC82" s="926"/>
      <c r="AD82" s="904"/>
      <c r="AE82" s="904"/>
      <c r="AF82" s="927"/>
      <c r="AG82" s="2395"/>
    </row>
    <row r="83" spans="1:33" ht="53.25" customHeight="1">
      <c r="A83" s="2392">
        <v>2</v>
      </c>
      <c r="B83" s="3929" t="s">
        <v>1569</v>
      </c>
      <c r="C83" s="3930"/>
      <c r="D83" s="3930"/>
      <c r="E83" s="3931"/>
      <c r="F83" s="2827" t="s">
        <v>47</v>
      </c>
      <c r="G83" s="2010" t="str">
        <f>'XM.FILE GOC'!$E$121</f>
        <v>160~220
(180)</v>
      </c>
      <c r="H83" s="2828" t="str">
        <f>'XM.FILE GOC'!$F$121</f>
        <v>160~220
(180)</v>
      </c>
      <c r="I83" s="3099">
        <f>'3.XT-C KH'!I89:L89</f>
        <v>0</v>
      </c>
      <c r="J83" s="3099"/>
      <c r="K83" s="3099"/>
      <c r="L83" s="3099"/>
      <c r="M83" s="1299"/>
      <c r="N83" s="1300"/>
      <c r="O83" s="1300"/>
      <c r="P83" s="1301"/>
      <c r="Q83" s="3098">
        <f>'3.XT-C KH'!Q89:T89</f>
        <v>0</v>
      </c>
      <c r="R83" s="3099"/>
      <c r="S83" s="3099"/>
      <c r="T83" s="3099"/>
      <c r="U83" s="1299"/>
      <c r="V83" s="1300"/>
      <c r="W83" s="1300"/>
      <c r="X83" s="1301"/>
      <c r="Y83" s="3098">
        <f>'3.XT-C KH'!Y89:AB89</f>
        <v>0</v>
      </c>
      <c r="Z83" s="3099"/>
      <c r="AA83" s="3099"/>
      <c r="AB83" s="3100"/>
      <c r="AC83" s="928"/>
      <c r="AD83" s="929"/>
      <c r="AE83" s="929"/>
      <c r="AF83" s="930"/>
      <c r="AG83" s="2395"/>
    </row>
  </sheetData>
  <sheetProtection selectLockedCells="1"/>
  <mergeCells count="382">
    <mergeCell ref="AJ55:AM55"/>
    <mergeCell ref="AQ55:AR55"/>
    <mergeCell ref="AS55:AT55"/>
    <mergeCell ref="AY55:AZ55"/>
    <mergeCell ref="BA55:BB55"/>
    <mergeCell ref="BG55:BH55"/>
    <mergeCell ref="BI55:BJ55"/>
    <mergeCell ref="BA53:BB53"/>
    <mergeCell ref="BG53:BH53"/>
    <mergeCell ref="BI53:BJ53"/>
    <mergeCell ref="AJ54:AM54"/>
    <mergeCell ref="AQ54:AR54"/>
    <mergeCell ref="AS54:AT54"/>
    <mergeCell ref="AY54:AZ54"/>
    <mergeCell ref="BA54:BB54"/>
    <mergeCell ref="BG54:BH54"/>
    <mergeCell ref="BI54:BJ54"/>
    <mergeCell ref="AJ48:AK49"/>
    <mergeCell ref="AL48:AM48"/>
    <mergeCell ref="AL49:AM49"/>
    <mergeCell ref="AJ50:AM50"/>
    <mergeCell ref="AJ51:AM51"/>
    <mergeCell ref="AJ53:AM53"/>
    <mergeCell ref="AQ53:AR53"/>
    <mergeCell ref="AS53:AT53"/>
    <mergeCell ref="AY53:AZ53"/>
    <mergeCell ref="AQ45:AT45"/>
    <mergeCell ref="BI45:BJ45"/>
    <mergeCell ref="BL45:BM45"/>
    <mergeCell ref="BN45:BO45"/>
    <mergeCell ref="AI46:AI47"/>
    <mergeCell ref="AJ46:AM47"/>
    <mergeCell ref="AN46:AN47"/>
    <mergeCell ref="AO46:AO47"/>
    <mergeCell ref="AP46:AP47"/>
    <mergeCell ref="AQ46:AT46"/>
    <mergeCell ref="AU46:AX46"/>
    <mergeCell ref="AY46:BB46"/>
    <mergeCell ref="BC46:BF46"/>
    <mergeCell ref="BG46:BJ46"/>
    <mergeCell ref="BK46:BN46"/>
    <mergeCell ref="BO46:BO47"/>
    <mergeCell ref="AR47:AT47"/>
    <mergeCell ref="AV47:AX47"/>
    <mergeCell ref="AZ47:BB47"/>
    <mergeCell ref="BD47:BF47"/>
    <mergeCell ref="BH47:BJ47"/>
    <mergeCell ref="BL47:BN47"/>
    <mergeCell ref="AJ13:AM13"/>
    <mergeCell ref="AQ13:AR13"/>
    <mergeCell ref="AS13:AT13"/>
    <mergeCell ref="AY13:AZ13"/>
    <mergeCell ref="BA13:BB13"/>
    <mergeCell ref="BG13:BH13"/>
    <mergeCell ref="BI13:BJ13"/>
    <mergeCell ref="BL44:BM44"/>
    <mergeCell ref="BN44:BO44"/>
    <mergeCell ref="BA11:BB11"/>
    <mergeCell ref="BG11:BH11"/>
    <mergeCell ref="BI11:BJ11"/>
    <mergeCell ref="AJ12:AM12"/>
    <mergeCell ref="AQ12:AR12"/>
    <mergeCell ref="AS12:AT12"/>
    <mergeCell ref="AY12:AZ12"/>
    <mergeCell ref="BA12:BB12"/>
    <mergeCell ref="BG12:BH12"/>
    <mergeCell ref="BI12:BJ12"/>
    <mergeCell ref="AJ6:AK7"/>
    <mergeCell ref="AL6:AM6"/>
    <mergeCell ref="AL7:AM7"/>
    <mergeCell ref="AJ8:AM8"/>
    <mergeCell ref="AJ9:AM9"/>
    <mergeCell ref="AJ11:AM11"/>
    <mergeCell ref="AQ11:AR11"/>
    <mergeCell ref="AS11:AT11"/>
    <mergeCell ref="AY11:AZ11"/>
    <mergeCell ref="BL2:BM2"/>
    <mergeCell ref="BN2:BO2"/>
    <mergeCell ref="AQ3:AT3"/>
    <mergeCell ref="BL3:BM3"/>
    <mergeCell ref="BN3:BO3"/>
    <mergeCell ref="AI4:AI5"/>
    <mergeCell ref="AJ4:AM5"/>
    <mergeCell ref="AN4:AN5"/>
    <mergeCell ref="AO4:AO5"/>
    <mergeCell ref="AP4:AP5"/>
    <mergeCell ref="AQ4:AT4"/>
    <mergeCell ref="AU4:AX4"/>
    <mergeCell ref="AY4:BB4"/>
    <mergeCell ref="BC4:BF4"/>
    <mergeCell ref="BG4:BJ4"/>
    <mergeCell ref="BK4:BN4"/>
    <mergeCell ref="BO4:BO5"/>
    <mergeCell ref="AR5:AT5"/>
    <mergeCell ref="AV5:AX5"/>
    <mergeCell ref="AZ5:BB5"/>
    <mergeCell ref="BD5:BF5"/>
    <mergeCell ref="BH5:BJ5"/>
    <mergeCell ref="BL5:BN5"/>
    <mergeCell ref="B82:E82"/>
    <mergeCell ref="I82:L82"/>
    <mergeCell ref="Q82:T82"/>
    <mergeCell ref="Y82:AB82"/>
    <mergeCell ref="B83:E83"/>
    <mergeCell ref="I83:L83"/>
    <mergeCell ref="Q83:T83"/>
    <mergeCell ref="Y83:AB83"/>
    <mergeCell ref="AA78:AB78"/>
    <mergeCell ref="B81:E81"/>
    <mergeCell ref="I81:L81"/>
    <mergeCell ref="Q81:T81"/>
    <mergeCell ref="Y81:AB81"/>
    <mergeCell ref="B78:E78"/>
    <mergeCell ref="I78:J78"/>
    <mergeCell ref="K78:L78"/>
    <mergeCell ref="Q78:R78"/>
    <mergeCell ref="S78:T78"/>
    <mergeCell ref="Y78:Z78"/>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B61:E61"/>
    <mergeCell ref="B63:E63"/>
    <mergeCell ref="B64:E64"/>
    <mergeCell ref="B65:E66"/>
    <mergeCell ref="A56:A57"/>
    <mergeCell ref="B56:B57"/>
    <mergeCell ref="C56:E56"/>
    <mergeCell ref="C57:E57"/>
    <mergeCell ref="A58:A59"/>
    <mergeCell ref="B58:D59"/>
    <mergeCell ref="E58:E59"/>
    <mergeCell ref="B60:E60"/>
    <mergeCell ref="B62:E62"/>
    <mergeCell ref="A52:A53"/>
    <mergeCell ref="B52:C53"/>
    <mergeCell ref="D52:E52"/>
    <mergeCell ref="D53:E53"/>
    <mergeCell ref="A54:A55"/>
    <mergeCell ref="B54:C55"/>
    <mergeCell ref="D54:E54"/>
    <mergeCell ref="D55:E55"/>
    <mergeCell ref="AD47:AF47"/>
    <mergeCell ref="A48:A49"/>
    <mergeCell ref="B48:C49"/>
    <mergeCell ref="D48:E48"/>
    <mergeCell ref="D49:E49"/>
    <mergeCell ref="A50:A51"/>
    <mergeCell ref="B50:C51"/>
    <mergeCell ref="D50:E50"/>
    <mergeCell ref="D51:E51"/>
    <mergeCell ref="A46:A47"/>
    <mergeCell ref="B46:E47"/>
    <mergeCell ref="F46:F47"/>
    <mergeCell ref="G46:G47"/>
    <mergeCell ref="H46:H47"/>
    <mergeCell ref="I46:L46"/>
    <mergeCell ref="J47:L47"/>
    <mergeCell ref="M46:P46"/>
    <mergeCell ref="Q46:T46"/>
    <mergeCell ref="U46:X46"/>
    <mergeCell ref="Y46:AB46"/>
    <mergeCell ref="AC46:AF46"/>
    <mergeCell ref="AG46:AG47"/>
    <mergeCell ref="N47:P47"/>
    <mergeCell ref="R47:T47"/>
    <mergeCell ref="V47:X47"/>
    <mergeCell ref="Z47:AB47"/>
    <mergeCell ref="AD44:AE44"/>
    <mergeCell ref="AF44:AG44"/>
    <mergeCell ref="I45:L45"/>
    <mergeCell ref="AA45:AB45"/>
    <mergeCell ref="AD45:AE45"/>
    <mergeCell ref="AF45:AG45"/>
    <mergeCell ref="B40:E40"/>
    <mergeCell ref="I40:L40"/>
    <mergeCell ref="Q40:T40"/>
    <mergeCell ref="Y40:AB40"/>
    <mergeCell ref="B41:E41"/>
    <mergeCell ref="I41:L41"/>
    <mergeCell ref="Q41:T41"/>
    <mergeCell ref="Y41:AB41"/>
    <mergeCell ref="B39:E39"/>
    <mergeCell ref="I39:L39"/>
    <mergeCell ref="Q39:T39"/>
    <mergeCell ref="Y39:AB39"/>
    <mergeCell ref="AA36:AB36"/>
    <mergeCell ref="B36:E36"/>
    <mergeCell ref="I36:J36"/>
    <mergeCell ref="K36:L36"/>
    <mergeCell ref="Q36:R36"/>
    <mergeCell ref="S36:T36"/>
    <mergeCell ref="Y36:Z36"/>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19:E19"/>
    <mergeCell ref="B21:E21"/>
    <mergeCell ref="B22:E22"/>
    <mergeCell ref="B23:E24"/>
    <mergeCell ref="A14:A15"/>
    <mergeCell ref="B14:B15"/>
    <mergeCell ref="C14:E14"/>
    <mergeCell ref="C15:E15"/>
    <mergeCell ref="A16:A17"/>
    <mergeCell ref="B16:D17"/>
    <mergeCell ref="E16:E17"/>
    <mergeCell ref="B18:E18"/>
    <mergeCell ref="B20:E20"/>
    <mergeCell ref="A10:A11"/>
    <mergeCell ref="B10:C11"/>
    <mergeCell ref="D10:E10"/>
    <mergeCell ref="D11:E11"/>
    <mergeCell ref="A12:A13"/>
    <mergeCell ref="B12:C13"/>
    <mergeCell ref="D12:E12"/>
    <mergeCell ref="D13:E13"/>
    <mergeCell ref="AD5:AF5"/>
    <mergeCell ref="A6:A7"/>
    <mergeCell ref="B6:C7"/>
    <mergeCell ref="D6:E6"/>
    <mergeCell ref="D7:E7"/>
    <mergeCell ref="A8:A9"/>
    <mergeCell ref="B8:C9"/>
    <mergeCell ref="D8:E8"/>
    <mergeCell ref="D9:E9"/>
    <mergeCell ref="A4:A5"/>
    <mergeCell ref="B4:E5"/>
    <mergeCell ref="F4:F5"/>
    <mergeCell ref="G4:G5"/>
    <mergeCell ref="H4:H5"/>
    <mergeCell ref="I4:L4"/>
    <mergeCell ref="J5:L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s>
  <conditionalFormatting sqref="I82 Y82 Q82 I40 Y40 Q40">
    <cfRule type="expression" dxfId="295" priority="540">
      <formula>I40&lt;30</formula>
    </cfRule>
    <cfRule type="expression" dxfId="294" priority="541">
      <formula>I40&gt;50</formula>
    </cfRule>
  </conditionalFormatting>
  <conditionalFormatting sqref="I83 Y83 Q83 I41 Y41 Q41">
    <cfRule type="expression" dxfId="293" priority="538">
      <formula>I41&lt;160</formula>
    </cfRule>
    <cfRule type="expression" dxfId="292" priority="539">
      <formula>I41&gt;220</formula>
    </cfRule>
  </conditionalFormatting>
  <conditionalFormatting sqref="I56 Q56 Y56 I14 Q14 Y14">
    <cfRule type="expression" dxfId="291" priority="485" stopIfTrue="1">
      <formula>I14&lt;135</formula>
    </cfRule>
  </conditionalFormatting>
  <conditionalFormatting sqref="I56 Q56 Y56 I14 Q14 Y14">
    <cfRule type="expression" dxfId="290" priority="484" stopIfTrue="1">
      <formula>I14&gt;145</formula>
    </cfRule>
  </conditionalFormatting>
  <conditionalFormatting sqref="I52 I54 Q52 Q54 Y52 Y54 I10 I12 Q10 Q12 Y10 Y12">
    <cfRule type="cellIs" dxfId="289" priority="478" operator="between">
      <formula>50</formula>
      <formula>54.99</formula>
    </cfRule>
    <cfRule type="cellIs" dxfId="288" priority="479" operator="between">
      <formula>65.01</formula>
      <formula>70</formula>
    </cfRule>
    <cfRule type="expression" dxfId="287" priority="480">
      <formula>I10&lt;50</formula>
    </cfRule>
    <cfRule type="expression" dxfId="286" priority="481">
      <formula>I10&gt;70</formula>
    </cfRule>
  </conditionalFormatting>
  <conditionalFormatting sqref="I48 I50 Q48 Q50 Y48 Y50 I6 I8 Q6 Q8 Y6 Y8">
    <cfRule type="cellIs" dxfId="285" priority="474" operator="between">
      <formula>40</formula>
      <formula>44.99</formula>
    </cfRule>
    <cfRule type="cellIs" dxfId="284" priority="475" operator="between">
      <formula>55.1</formula>
      <formula>60</formula>
    </cfRule>
    <cfRule type="expression" dxfId="283" priority="476">
      <formula>I6&lt;40</formula>
    </cfRule>
    <cfRule type="expression" dxfId="282" priority="477">
      <formula>I6&gt;60</formula>
    </cfRule>
  </conditionalFormatting>
  <conditionalFormatting sqref="I64 Q64 Y64 I22 Q22 Y22">
    <cfRule type="expression" dxfId="281" priority="470">
      <formula>I22&lt;0.6%</formula>
    </cfRule>
    <cfRule type="expression" dxfId="280" priority="471">
      <formula>I22&gt;1.4%</formula>
    </cfRule>
  </conditionalFormatting>
  <conditionalFormatting sqref="I57 Q57 Y57 I15 Q15 Y15">
    <cfRule type="cellIs" dxfId="279" priority="466" operator="between">
      <formula>7</formula>
      <formula>7.499</formula>
    </cfRule>
    <cfRule type="cellIs" dxfId="278" priority="467" operator="between">
      <formula>9.51</formula>
      <formula>10</formula>
    </cfRule>
    <cfRule type="expression" dxfId="277" priority="468">
      <formula>I15&lt;7</formula>
    </cfRule>
    <cfRule type="expression" dxfId="276" priority="469">
      <formula>I15&gt;10</formula>
    </cfRule>
  </conditionalFormatting>
  <conditionalFormatting sqref="Q73:T73 Y73:AB73 I73:L73 Q31:T31 Y31:AB31 I31:L31">
    <cfRule type="expression" dxfId="275" priority="364">
      <formula>I31&lt;22</formula>
    </cfRule>
    <cfRule type="expression" dxfId="274" priority="365">
      <formula>I31&gt;28</formula>
    </cfRule>
  </conditionalFormatting>
  <conditionalFormatting sqref="I69:L72 Q69:T72 Y69:AB72 I27:L30 Q27:T30 Y27:AB30">
    <cfRule type="cellIs" dxfId="273" priority="360" operator="between">
      <formula>50</formula>
      <formula>54.9</formula>
    </cfRule>
    <cfRule type="cellIs" dxfId="272" priority="361" operator="between">
      <formula>65.1</formula>
      <formula>70</formula>
    </cfRule>
    <cfRule type="expression" dxfId="271" priority="362">
      <formula>I27&lt;50</formula>
    </cfRule>
    <cfRule type="expression" dxfId="270" priority="363">
      <formula>I27&gt;70</formula>
    </cfRule>
  </conditionalFormatting>
  <conditionalFormatting sqref="K75 I75 S75 Q75 AA75 Y75 K33 I33 S33 Q33 AA33 Y33">
    <cfRule type="expression" dxfId="269" priority="358">
      <formula>I33&lt;55</formula>
    </cfRule>
    <cfRule type="expression" dxfId="268" priority="359">
      <formula>I33&gt;65</formula>
    </cfRule>
  </conditionalFormatting>
  <conditionalFormatting sqref="K76 S76 AA76 K34 S34 AA34">
    <cfRule type="cellIs" dxfId="267" priority="354" operator="between">
      <formula>80</formula>
      <formula>84.9</formula>
    </cfRule>
    <cfRule type="cellIs" dxfId="266" priority="355" operator="between">
      <formula>95.1</formula>
      <formula>100</formula>
    </cfRule>
    <cfRule type="expression" dxfId="265" priority="356">
      <formula>K34&lt;80</formula>
    </cfRule>
    <cfRule type="expression" dxfId="264" priority="357">
      <formula>K34&gt;100</formula>
    </cfRule>
  </conditionalFormatting>
  <conditionalFormatting sqref="K77 I77 S77 Q77 AA77 Y77 K35 I35 S35 Q35 AA35 Y35">
    <cfRule type="expression" dxfId="263" priority="352">
      <formula>I35&lt;40</formula>
    </cfRule>
    <cfRule type="expression" dxfId="262" priority="353">
      <formula>I35&gt;60</formula>
    </cfRule>
  </conditionalFormatting>
  <conditionalFormatting sqref="I78:I79 S78:S79 Q78:Q79 AA78:AA79 Y78:Y79 K78:K79 I36:I37 S36:S37 Q36:Q37 AA36:AA37 Y36:Y37 K36:K37">
    <cfRule type="expression" dxfId="261" priority="350">
      <formula>I36&lt;50</formula>
    </cfRule>
    <cfRule type="expression" dxfId="260" priority="351">
      <formula>I36&gt;70</formula>
    </cfRule>
  </conditionalFormatting>
  <conditionalFormatting sqref="I65 Q65 Y65 I23 Q23 Y23">
    <cfRule type="cellIs" dxfId="259" priority="168" operator="between">
      <formula>5</formula>
      <formula>5.499</formula>
    </cfRule>
    <cfRule type="cellIs" dxfId="258" priority="169" operator="between">
      <formula>6.51</formula>
      <formula>8</formula>
    </cfRule>
    <cfRule type="expression" dxfId="257" priority="170">
      <formula>I23&lt;5</formula>
    </cfRule>
    <cfRule type="expression" dxfId="256" priority="171">
      <formula>I23&gt;8</formula>
    </cfRule>
  </conditionalFormatting>
  <conditionalFormatting sqref="I66 Q66 Y66 I24 Q24 Y24">
    <cfRule type="cellIs" dxfId="255" priority="164" operator="between">
      <formula>1.8</formula>
      <formula>1.999</formula>
    </cfRule>
    <cfRule type="cellIs" dxfId="254" priority="165" operator="between">
      <formula>2.21</formula>
      <formula>2.4</formula>
    </cfRule>
    <cfRule type="expression" dxfId="253" priority="166">
      <formula>I24&lt;1.8</formula>
    </cfRule>
    <cfRule type="expression" dxfId="252" priority="167">
      <formula>I24&gt;2.4</formula>
    </cfRule>
  </conditionalFormatting>
  <conditionalFormatting sqref="K74 I74 S74 Q74 AA74 Y74 K32 I32 S32 Q32 AA32 Y32">
    <cfRule type="cellIs" dxfId="251" priority="168" operator="between">
      <formula>30</formula>
      <formula>30.9</formula>
    </cfRule>
    <cfRule type="cellIs" dxfId="250" priority="169" operator="between">
      <formula>37.1</formula>
      <formula>40</formula>
    </cfRule>
    <cfRule type="expression" dxfId="249" priority="170">
      <formula>I32&lt;30</formula>
    </cfRule>
    <cfRule type="expression" dxfId="248" priority="171">
      <formula>I32&gt;40</formula>
    </cfRule>
  </conditionalFormatting>
  <conditionalFormatting sqref="I58 Q58 Y58 I16 Q16 Y16">
    <cfRule type="cellIs" dxfId="247" priority="161" operator="between">
      <formula>7.01</formula>
      <formula>8</formula>
    </cfRule>
    <cfRule type="expression" dxfId="246" priority="162">
      <formula>I16&lt;5</formula>
    </cfRule>
    <cfRule type="expression" dxfId="245" priority="163">
      <formula>I16&gt;8</formula>
    </cfRule>
  </conditionalFormatting>
  <conditionalFormatting sqref="Q59 Y59 I17 Q17 I59 Y17">
    <cfRule type="cellIs" dxfId="244" priority="157" operator="between">
      <formula>2</formula>
      <formula>2.099</formula>
    </cfRule>
    <cfRule type="cellIs" dxfId="243" priority="158" operator="between">
      <formula>2.31</formula>
      <formula>2.4</formula>
    </cfRule>
    <cfRule type="expression" dxfId="242" priority="159">
      <formula>I17&lt;2</formula>
    </cfRule>
    <cfRule type="expression" dxfId="241" priority="160">
      <formula>I17&gt;2.4</formula>
    </cfRule>
  </conditionalFormatting>
  <conditionalFormatting sqref="I18">
    <cfRule type="expression" dxfId="240" priority="63">
      <formula>I18&lt;40%</formula>
    </cfRule>
    <cfRule type="expression" dxfId="239" priority="64">
      <formula>I18&gt;50%</formula>
    </cfRule>
  </conditionalFormatting>
  <conditionalFormatting sqref="I20:I21">
    <cfRule type="expression" dxfId="238" priority="61">
      <formula>I20&lt;40%</formula>
    </cfRule>
    <cfRule type="expression" dxfId="237" priority="62">
      <formula>I20&gt;50%</formula>
    </cfRule>
  </conditionalFormatting>
  <conditionalFormatting sqref="Q18">
    <cfRule type="expression" dxfId="236" priority="57">
      <formula>Q18&lt;40%</formula>
    </cfRule>
    <cfRule type="expression" dxfId="235" priority="58">
      <formula>Q18&gt;50%</formula>
    </cfRule>
  </conditionalFormatting>
  <conditionalFormatting sqref="Q20:Q21">
    <cfRule type="expression" dxfId="234" priority="55">
      <formula>Q20&lt;40%</formula>
    </cfRule>
    <cfRule type="expression" dxfId="233" priority="56">
      <formula>Q20&gt;50%</formula>
    </cfRule>
  </conditionalFormatting>
  <conditionalFormatting sqref="Y18">
    <cfRule type="expression" dxfId="232" priority="51">
      <formula>Y18&lt;40%</formula>
    </cfRule>
    <cfRule type="expression" dxfId="231" priority="52">
      <formula>Y18&gt;50%</formula>
    </cfRule>
  </conditionalFormatting>
  <conditionalFormatting sqref="Y20:Y21">
    <cfRule type="expression" dxfId="230" priority="49">
      <formula>Y20&lt;40%</formula>
    </cfRule>
    <cfRule type="expression" dxfId="229" priority="50">
      <formula>Y20&gt;50%</formula>
    </cfRule>
  </conditionalFormatting>
  <conditionalFormatting sqref="I60">
    <cfRule type="expression" dxfId="228" priority="45">
      <formula>I60&lt;40%</formula>
    </cfRule>
    <cfRule type="expression" dxfId="227" priority="46">
      <formula>I60&gt;50%</formula>
    </cfRule>
  </conditionalFormatting>
  <conditionalFormatting sqref="I62:I63">
    <cfRule type="expression" dxfId="226" priority="43">
      <formula>I62&lt;40%</formula>
    </cfRule>
    <cfRule type="expression" dxfId="225" priority="44">
      <formula>I62&gt;50%</formula>
    </cfRule>
  </conditionalFormatting>
  <conditionalFormatting sqref="Q60">
    <cfRule type="expression" dxfId="224" priority="39">
      <formula>Q60&lt;40%</formula>
    </cfRule>
    <cfRule type="expression" dxfId="223" priority="40">
      <formula>Q60&gt;50%</formula>
    </cfRule>
  </conditionalFormatting>
  <conditionalFormatting sqref="Q62:Q63">
    <cfRule type="expression" dxfId="222" priority="37">
      <formula>Q62&lt;40%</formula>
    </cfRule>
    <cfRule type="expression" dxfId="221" priority="38">
      <formula>Q62&gt;50%</formula>
    </cfRule>
  </conditionalFormatting>
  <conditionalFormatting sqref="Y60">
    <cfRule type="expression" dxfId="220" priority="33">
      <formula>Y60&lt;40%</formula>
    </cfRule>
    <cfRule type="expression" dxfId="219" priority="34">
      <formula>Y60&gt;50%</formula>
    </cfRule>
  </conditionalFormatting>
  <conditionalFormatting sqref="Y62:Y63">
    <cfRule type="expression" dxfId="218" priority="31">
      <formula>Y62&lt;40%</formula>
    </cfRule>
    <cfRule type="expression" dxfId="217" priority="32">
      <formula>Y62&gt;50%</formula>
    </cfRule>
  </conditionalFormatting>
  <conditionalFormatting sqref="AQ55 BG55 AS55 AY55 BA55 BI55 AQ13 BG13 AS13 AY13 BA13 BI13">
    <cfRule type="expression" dxfId="216" priority="29">
      <formula>AQ13&lt;20</formula>
    </cfRule>
    <cfRule type="expression" dxfId="215" priority="30">
      <formula>AQ13&gt;30</formula>
    </cfRule>
  </conditionalFormatting>
  <conditionalFormatting sqref="AQ54 BG54 AS54 AY54 BA54 BI54 AQ12 BG12 AS12 AY12 BA12 BI12">
    <cfRule type="expression" dxfId="214" priority="27">
      <formula>AQ12&lt;24</formula>
    </cfRule>
    <cfRule type="expression" dxfId="213" priority="28">
      <formula>AQ12&gt;28</formula>
    </cfRule>
  </conditionalFormatting>
  <conditionalFormatting sqref="AQ49 AY49 BG49 AQ7 AY7 BG7 BG9 AY9">
    <cfRule type="expression" dxfId="212" priority="25" stopIfTrue="1">
      <formula>AQ7&gt;140</formula>
    </cfRule>
    <cfRule type="expression" dxfId="211" priority="26" stopIfTrue="1">
      <formula>AQ7&lt;130</formula>
    </cfRule>
  </conditionalFormatting>
  <conditionalFormatting sqref="BG50:BG51 AY50:AY51 AQ50:AQ51 BG8:BG9 AY8:AY9 AQ8">
    <cfRule type="cellIs" dxfId="210" priority="22" operator="between">
      <formula>3</formula>
      <formula>4.099</formula>
    </cfRule>
    <cfRule type="expression" dxfId="209" priority="23">
      <formula>AQ8&lt;3</formula>
    </cfRule>
    <cfRule type="expression" dxfId="208" priority="24">
      <formula>AQ8&gt;4.5</formula>
    </cfRule>
  </conditionalFormatting>
  <conditionalFormatting sqref="AQ48 AY48 BG48 AQ6 AY6 BG6">
    <cfRule type="expression" dxfId="207" priority="20">
      <formula>AQ6&lt;5</formula>
    </cfRule>
    <cfRule type="expression" dxfId="206" priority="21">
      <formula>AQ6&gt;6</formula>
    </cfRule>
  </conditionalFormatting>
  <conditionalFormatting sqref="AQ51 AY51 BG51">
    <cfRule type="expression" dxfId="205" priority="18" stopIfTrue="1">
      <formula>AQ51&gt;140</formula>
    </cfRule>
    <cfRule type="expression" dxfId="204" priority="19" stopIfTrue="1">
      <formula>AQ51&lt;130</formula>
    </cfRule>
  </conditionalFormatting>
  <conditionalFormatting sqref="BG51 AY51">
    <cfRule type="expression" dxfId="203" priority="16" stopIfTrue="1">
      <formula>AY51&gt;140</formula>
    </cfRule>
    <cfRule type="expression" dxfId="202" priority="17" stopIfTrue="1">
      <formula>AY51&lt;130</formula>
    </cfRule>
  </conditionalFormatting>
  <conditionalFormatting sqref="AQ55 BG55 AS55 AY55 BA55 BI55 AQ13 BG13 AS13 AY13 BA13 BI13">
    <cfRule type="expression" dxfId="201" priority="14">
      <formula>AQ13&lt;20</formula>
    </cfRule>
    <cfRule type="expression" dxfId="200" priority="15">
      <formula>AQ13&gt;30</formula>
    </cfRule>
  </conditionalFormatting>
  <conditionalFormatting sqref="AQ54 BG54 AS54 AY54 BA54 BI54 AQ12 BG12 AS12 AY12 BA12 BI12">
    <cfRule type="expression" dxfId="199" priority="12">
      <formula>AQ12&lt;24</formula>
    </cfRule>
    <cfRule type="expression" dxfId="198" priority="13">
      <formula>AQ12&gt;28</formula>
    </cfRule>
  </conditionalFormatting>
  <conditionalFormatting sqref="AQ49 AY49 BG49 AQ7 AY7 BG7 BG9 AY9">
    <cfRule type="expression" dxfId="197" priority="10" stopIfTrue="1">
      <formula>AQ7&gt;140</formula>
    </cfRule>
    <cfRule type="expression" dxfId="196" priority="11" stopIfTrue="1">
      <formula>AQ7&lt;130</formula>
    </cfRule>
  </conditionalFormatting>
  <conditionalFormatting sqref="BG50:BG51 AY50:AY51 AQ50:AQ51 BG8:BG9 AY8:AY9 AQ8">
    <cfRule type="cellIs" dxfId="195" priority="7" operator="between">
      <formula>3</formula>
      <formula>4.099</formula>
    </cfRule>
    <cfRule type="expression" dxfId="194" priority="8">
      <formula>AQ8&lt;3</formula>
    </cfRule>
    <cfRule type="expression" dxfId="193" priority="9">
      <formula>AQ8&gt;4.5</formula>
    </cfRule>
  </conditionalFormatting>
  <conditionalFormatting sqref="AQ48 AY48 BG48 AQ6 AY6 BG6">
    <cfRule type="expression" dxfId="192" priority="5">
      <formula>AQ6&lt;5</formula>
    </cfRule>
    <cfRule type="expression" dxfId="191" priority="6">
      <formula>AQ6&gt;6</formula>
    </cfRule>
  </conditionalFormatting>
  <conditionalFormatting sqref="AQ51 AY51 BG51">
    <cfRule type="expression" dxfId="190" priority="3" stopIfTrue="1">
      <formula>AQ51&gt;140</formula>
    </cfRule>
    <cfRule type="expression" dxfId="189" priority="4" stopIfTrue="1">
      <formula>AQ51&lt;130</formula>
    </cfRule>
  </conditionalFormatting>
  <conditionalFormatting sqref="BG51 AY51">
    <cfRule type="expression" dxfId="188" priority="1" stopIfTrue="1">
      <formula>AY51&gt;140</formula>
    </cfRule>
    <cfRule type="expression" dxfId="187" priority="2" stopIfTrue="1">
      <formula>AY51&lt;130</formula>
    </cfRule>
  </conditionalFormatting>
  <pageMargins left="0.39"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52.xml><?xml version="1.0" encoding="utf-8"?>
<worksheet xmlns="http://schemas.openxmlformats.org/spreadsheetml/2006/main" xmlns:r="http://schemas.openxmlformats.org/officeDocument/2006/relationships">
  <sheetPr>
    <tabColor rgb="FFCCFF33"/>
  </sheetPr>
  <dimension ref="A1:BC83"/>
  <sheetViews>
    <sheetView view="pageBreakPreview" zoomScale="55" zoomScaleNormal="55" zoomScaleSheetLayoutView="55" workbookViewId="0">
      <selection activeCell="O16" sqref="O16"/>
    </sheetView>
  </sheetViews>
  <sheetFormatPr defaultRowHeight="16.5"/>
  <cols>
    <col min="1" max="1" width="5" style="979" customWidth="1"/>
    <col min="2" max="2" width="8" style="980" customWidth="1"/>
    <col min="3" max="3" width="3.5" style="980" customWidth="1"/>
    <col min="4" max="4" width="6" style="980" customWidth="1"/>
    <col min="5" max="5" width="5.125" style="980" customWidth="1"/>
    <col min="6" max="6" width="7.5" style="981" customWidth="1"/>
    <col min="7" max="7" width="14.125" style="981" customWidth="1"/>
    <col min="8" max="8" width="9.75" style="981" customWidth="1"/>
    <col min="9" max="9" width="8.375" style="981" customWidth="1"/>
    <col min="10" max="10" width="2.625" style="981" customWidth="1"/>
    <col min="11" max="11" width="8" style="981" customWidth="1"/>
    <col min="12" max="12" width="4" style="981" customWidth="1"/>
    <col min="13" max="13" width="8" style="944" customWidth="1"/>
    <col min="14" max="14" width="2.75" style="944" customWidth="1"/>
    <col min="15" max="15" width="8.75" style="944" customWidth="1"/>
    <col min="16" max="16" width="4" style="944" customWidth="1"/>
    <col min="17" max="17" width="8.25" style="981" customWidth="1"/>
    <col min="18" max="18" width="2.375" style="981" customWidth="1"/>
    <col min="19" max="19" width="8.25" style="981" customWidth="1"/>
    <col min="20" max="20" width="4.25" style="981" customWidth="1"/>
    <col min="21" max="21" width="7.625" style="944" customWidth="1"/>
    <col min="22" max="22" width="4" style="944" customWidth="1"/>
    <col min="23" max="23" width="7.875" style="944" customWidth="1"/>
    <col min="24" max="24" width="3.75" style="944" customWidth="1"/>
    <col min="25" max="25" width="7.5" style="981" customWidth="1"/>
    <col min="26" max="26" width="4.25" style="981" customWidth="1"/>
    <col min="27" max="27" width="7.625" style="981" customWidth="1"/>
    <col min="28" max="28" width="4.875" style="981" customWidth="1"/>
    <col min="29" max="29" width="7.5" style="944" customWidth="1"/>
    <col min="30" max="30" width="3.75" style="944" customWidth="1"/>
    <col min="31" max="31" width="7.5" style="944" customWidth="1"/>
    <col min="32" max="32" width="4.25" style="944" customWidth="1"/>
    <col min="33" max="33" width="7.625" style="8" customWidth="1"/>
    <col min="34" max="16384" width="9" style="8"/>
  </cols>
  <sheetData>
    <row r="1" spans="1:35" ht="28.5" customHeight="1">
      <c r="A1" s="3446" t="s">
        <v>134</v>
      </c>
      <c r="B1" s="3446"/>
      <c r="C1" s="3446"/>
      <c r="D1" s="3446"/>
      <c r="E1" s="3446"/>
      <c r="F1" s="3446"/>
      <c r="G1" s="3446"/>
      <c r="H1" s="3446"/>
      <c r="I1" s="3446"/>
      <c r="J1" s="3446"/>
      <c r="K1" s="3446"/>
      <c r="L1" s="3446"/>
      <c r="M1" s="3446"/>
      <c r="N1" s="3446"/>
      <c r="O1" s="3446"/>
      <c r="P1" s="3446"/>
      <c r="Q1" s="3446"/>
      <c r="R1" s="3446"/>
      <c r="S1" s="3446"/>
      <c r="T1" s="3446"/>
      <c r="U1" s="3446"/>
      <c r="V1" s="3446"/>
      <c r="W1" s="3446"/>
      <c r="X1" s="3446"/>
      <c r="Y1" s="3446"/>
      <c r="Z1" s="3446"/>
      <c r="AA1" s="982"/>
      <c r="AB1" s="982"/>
      <c r="AC1" s="945"/>
      <c r="AD1" s="945"/>
      <c r="AE1" s="945"/>
      <c r="AF1" s="945"/>
      <c r="AG1" s="60"/>
    </row>
    <row r="2" spans="1:35" ht="51.75" customHeight="1">
      <c r="A2" s="3447" t="s">
        <v>135</v>
      </c>
      <c r="B2" s="3447"/>
      <c r="C2" s="3447"/>
      <c r="D2" s="3447"/>
      <c r="E2" s="3447"/>
      <c r="F2" s="3447"/>
      <c r="G2" s="3447"/>
      <c r="H2" s="3447"/>
      <c r="I2" s="3447"/>
      <c r="J2" s="3447"/>
      <c r="K2" s="3447"/>
      <c r="L2" s="3447"/>
      <c r="M2" s="3447"/>
      <c r="N2" s="3447"/>
      <c r="O2" s="3447"/>
      <c r="P2" s="3447"/>
      <c r="Q2" s="3447"/>
      <c r="R2" s="3447"/>
      <c r="S2" s="3447"/>
      <c r="T2" s="3447"/>
      <c r="U2" s="3447"/>
      <c r="V2" s="3447"/>
      <c r="W2" s="3447"/>
      <c r="X2" s="3447"/>
      <c r="Y2" s="3447"/>
      <c r="Z2" s="3447"/>
      <c r="AA2" s="982"/>
      <c r="AB2" s="982"/>
      <c r="AC2" s="945"/>
      <c r="AD2" s="3128" t="s">
        <v>87</v>
      </c>
      <c r="AE2" s="3128"/>
      <c r="AF2" s="3130" t="s">
        <v>88</v>
      </c>
      <c r="AG2" s="3131"/>
    </row>
    <row r="3" spans="1:35" ht="32.25" customHeight="1">
      <c r="A3" s="967"/>
      <c r="B3" s="1418" t="s">
        <v>126</v>
      </c>
      <c r="C3" s="1419"/>
      <c r="D3" s="1389"/>
      <c r="E3" s="1390"/>
      <c r="F3" s="1391"/>
      <c r="G3" s="1387"/>
      <c r="H3" s="1812" t="str">
        <f>MENU!$AC$9</f>
        <v>Thứ 5,</v>
      </c>
      <c r="I3" s="3196" t="str">
        <f>MENU!$AD$9</f>
        <v>2024/08/01</v>
      </c>
      <c r="J3" s="3197"/>
      <c r="K3" s="3197"/>
      <c r="L3" s="3197"/>
      <c r="M3" s="942"/>
      <c r="N3" s="942"/>
      <c r="O3" s="942"/>
      <c r="P3" s="942"/>
      <c r="Q3" s="968"/>
      <c r="R3" s="968"/>
      <c r="S3" s="968"/>
      <c r="T3" s="968"/>
      <c r="U3" s="942"/>
      <c r="V3" s="942"/>
      <c r="W3" s="942"/>
      <c r="X3" s="942"/>
      <c r="Y3" s="968"/>
      <c r="Z3" s="968"/>
      <c r="AA3" s="982"/>
      <c r="AB3" s="982"/>
      <c r="AC3" s="945"/>
      <c r="AD3" s="3129" t="str">
        <f>MENU!AE6</f>
        <v>L.Yen</v>
      </c>
      <c r="AE3" s="3129"/>
      <c r="AF3" s="3132" t="s">
        <v>11</v>
      </c>
      <c r="AG3" s="3133"/>
    </row>
    <row r="4" spans="1:35" s="61" customFormat="1" ht="46.5" customHeight="1">
      <c r="A4" s="3273" t="s">
        <v>7</v>
      </c>
      <c r="B4" s="3151" t="s">
        <v>75</v>
      </c>
      <c r="C4" s="3152"/>
      <c r="D4" s="3152"/>
      <c r="E4" s="3153"/>
      <c r="F4" s="3149" t="s">
        <v>123</v>
      </c>
      <c r="G4" s="3180" t="s">
        <v>1296</v>
      </c>
      <c r="H4" s="3185" t="s">
        <v>1289</v>
      </c>
      <c r="I4" s="3167">
        <v>0.30208333333333331</v>
      </c>
      <c r="J4" s="3168"/>
      <c r="K4" s="3168"/>
      <c r="L4" s="3169"/>
      <c r="M4" s="3123" t="s">
        <v>929</v>
      </c>
      <c r="N4" s="3271"/>
      <c r="O4" s="3271"/>
      <c r="P4" s="3272"/>
      <c r="Q4" s="3167">
        <v>0.46875</v>
      </c>
      <c r="R4" s="3168"/>
      <c r="S4" s="3168"/>
      <c r="T4" s="3169"/>
      <c r="U4" s="3123" t="s">
        <v>929</v>
      </c>
      <c r="V4" s="3124"/>
      <c r="W4" s="3124"/>
      <c r="X4" s="3125"/>
      <c r="Y4" s="3167">
        <v>0.63541666666666663</v>
      </c>
      <c r="Z4" s="3168"/>
      <c r="AA4" s="3168"/>
      <c r="AB4" s="3169"/>
      <c r="AC4" s="3123" t="s">
        <v>929</v>
      </c>
      <c r="AD4" s="3124"/>
      <c r="AE4" s="3124"/>
      <c r="AF4" s="3125"/>
      <c r="AG4" s="3216" t="s">
        <v>38</v>
      </c>
    </row>
    <row r="5" spans="1:35" s="61" customFormat="1" ht="46.5" customHeight="1">
      <c r="A5" s="3273"/>
      <c r="B5" s="3154"/>
      <c r="C5" s="3155"/>
      <c r="D5" s="3155"/>
      <c r="E5" s="3156"/>
      <c r="F5" s="3150"/>
      <c r="G5" s="3181"/>
      <c r="H5" s="3186"/>
      <c r="I5" s="948" t="s">
        <v>128</v>
      </c>
      <c r="J5" s="3173" t="s">
        <v>1</v>
      </c>
      <c r="K5" s="3174"/>
      <c r="L5" s="3175"/>
      <c r="M5" s="906" t="s">
        <v>930</v>
      </c>
      <c r="N5" s="3126" t="s">
        <v>1</v>
      </c>
      <c r="O5" s="3126"/>
      <c r="P5" s="3127"/>
      <c r="Q5" s="948" t="s">
        <v>128</v>
      </c>
      <c r="R5" s="3173" t="s">
        <v>1</v>
      </c>
      <c r="S5" s="3174"/>
      <c r="T5" s="3175"/>
      <c r="U5" s="906" t="s">
        <v>128</v>
      </c>
      <c r="V5" s="3126" t="s">
        <v>1</v>
      </c>
      <c r="W5" s="3126"/>
      <c r="X5" s="3127"/>
      <c r="Y5" s="948" t="s">
        <v>128</v>
      </c>
      <c r="Z5" s="3173" t="s">
        <v>1</v>
      </c>
      <c r="AA5" s="3174"/>
      <c r="AB5" s="3175"/>
      <c r="AC5" s="906" t="s">
        <v>128</v>
      </c>
      <c r="AD5" s="3126" t="s">
        <v>1</v>
      </c>
      <c r="AE5" s="3126"/>
      <c r="AF5" s="3127"/>
      <c r="AG5" s="3217"/>
    </row>
    <row r="6" spans="1:35" ht="49.5" customHeight="1">
      <c r="A6" s="3249">
        <v>1</v>
      </c>
      <c r="B6" s="3251" t="s">
        <v>940</v>
      </c>
      <c r="C6" s="3252"/>
      <c r="D6" s="3164" t="s">
        <v>229</v>
      </c>
      <c r="E6" s="3165"/>
      <c r="F6" s="1570" t="s">
        <v>4</v>
      </c>
      <c r="G6" s="897" t="str">
        <f>'XM.FILE GOC'!$E$78</f>
        <v>40~60</v>
      </c>
      <c r="H6" s="2202" t="str">
        <f>'XM.FILE GOC'!$F$78</f>
        <v>(50±5)</v>
      </c>
      <c r="I6" s="2205">
        <f>'XM.FILE GOC'!I78</f>
        <v>48.026000000000003</v>
      </c>
      <c r="J6" s="969" t="s">
        <v>8</v>
      </c>
      <c r="K6" s="970">
        <f>'XM.FILE GOC'!L78</f>
        <v>30.630557999999947</v>
      </c>
      <c r="L6" s="971" t="s">
        <v>9</v>
      </c>
      <c r="M6" s="1573">
        <f>'3.XT-C KH'!M6</f>
        <v>50</v>
      </c>
      <c r="N6" s="908" t="s">
        <v>8</v>
      </c>
      <c r="O6" s="1588">
        <f>IF(M6=0,"",('XM.FILE GOC'!$G$78-M6)*15517/1000)</f>
        <v>0</v>
      </c>
      <c r="P6" s="909" t="s">
        <v>9</v>
      </c>
      <c r="Q6" s="2205">
        <f>'XM.FILE GOC'!P78</f>
        <v>50.9465</v>
      </c>
      <c r="R6" s="969" t="s">
        <v>8</v>
      </c>
      <c r="S6" s="970">
        <f>'XM.FILE GOC'!S78</f>
        <v>0</v>
      </c>
      <c r="T6" s="971" t="s">
        <v>9</v>
      </c>
      <c r="U6" s="1573">
        <f>'3.XT-C KH'!U6</f>
        <v>0</v>
      </c>
      <c r="V6" s="908" t="s">
        <v>8</v>
      </c>
      <c r="W6" s="1588" t="str">
        <f>IF(U6=0,"",('XM.FILE GOC'!$G$78-U6)*15517/1000)</f>
        <v/>
      </c>
      <c r="X6" s="909" t="s">
        <v>9</v>
      </c>
      <c r="Y6" s="2205">
        <f>'XM.FILE GOC'!W78</f>
        <v>51.271000000000001</v>
      </c>
      <c r="Z6" s="969" t="s">
        <v>8</v>
      </c>
      <c r="AA6" s="970">
        <f>'XM.FILE GOC'!Z78</f>
        <v>0</v>
      </c>
      <c r="AB6" s="971" t="s">
        <v>9</v>
      </c>
      <c r="AC6" s="1573">
        <f>'3.XT-C KH'!AC6</f>
        <v>0</v>
      </c>
      <c r="AD6" s="908" t="s">
        <v>8</v>
      </c>
      <c r="AE6" s="1588" t="str">
        <f>IF(AC6=0,"",('XM.FILE GOC'!$G$78-AC6)*15517/1000)</f>
        <v/>
      </c>
      <c r="AF6" s="909" t="s">
        <v>9</v>
      </c>
      <c r="AG6" s="1567" t="s">
        <v>39</v>
      </c>
    </row>
    <row r="7" spans="1:35" ht="49.5" customHeight="1">
      <c r="A7" s="3250"/>
      <c r="B7" s="3253"/>
      <c r="C7" s="3254"/>
      <c r="D7" s="3164" t="s">
        <v>230</v>
      </c>
      <c r="E7" s="3165"/>
      <c r="F7" s="896"/>
      <c r="G7" s="897" t="s">
        <v>1260</v>
      </c>
      <c r="H7" s="2202"/>
      <c r="I7" s="2191"/>
      <c r="J7" s="58"/>
      <c r="K7" s="952">
        <f>K6/25*8.5</f>
        <v>10.414389719999981</v>
      </c>
      <c r="L7" s="587" t="s">
        <v>10</v>
      </c>
      <c r="M7" s="1573">
        <f>'3.XT-C KH'!M7</f>
        <v>0</v>
      </c>
      <c r="N7" s="910" t="s">
        <v>8</v>
      </c>
      <c r="O7" s="1586">
        <f>IF(M6=0,"",O6/25*8.5)</f>
        <v>0</v>
      </c>
      <c r="P7" s="911" t="s">
        <v>10</v>
      </c>
      <c r="Q7" s="2191"/>
      <c r="R7" s="58"/>
      <c r="S7" s="952">
        <f>S6/25*8.5</f>
        <v>0</v>
      </c>
      <c r="T7" s="587" t="s">
        <v>10</v>
      </c>
      <c r="U7" s="1573">
        <f>'3.XT-C KH'!U7</f>
        <v>0</v>
      </c>
      <c r="V7" s="910" t="s">
        <v>8</v>
      </c>
      <c r="W7" s="1586" t="str">
        <f>IF(U6=0,"",W6/25*8.5)</f>
        <v/>
      </c>
      <c r="X7" s="911" t="s">
        <v>10</v>
      </c>
      <c r="Y7" s="2191"/>
      <c r="Z7" s="58"/>
      <c r="AA7" s="952">
        <f>AA6/25*8.5</f>
        <v>0</v>
      </c>
      <c r="AB7" s="587" t="s">
        <v>10</v>
      </c>
      <c r="AC7" s="1573">
        <f>'3.XT-C KH'!AC7</f>
        <v>0</v>
      </c>
      <c r="AD7" s="910" t="s">
        <v>8</v>
      </c>
      <c r="AE7" s="1586" t="str">
        <f>IF(AC6=0,"",AE6/25*8.5)</f>
        <v/>
      </c>
      <c r="AF7" s="911" t="s">
        <v>10</v>
      </c>
      <c r="AG7" s="1567"/>
    </row>
    <row r="8" spans="1:35" ht="49.5" customHeight="1">
      <c r="A8" s="3249">
        <v>2</v>
      </c>
      <c r="B8" s="3251" t="s">
        <v>941</v>
      </c>
      <c r="C8" s="3252"/>
      <c r="D8" s="3164" t="s">
        <v>229</v>
      </c>
      <c r="E8" s="3165"/>
      <c r="F8" s="1570" t="s">
        <v>4</v>
      </c>
      <c r="G8" s="897" t="str">
        <f>'XM.FILE GOC'!$E$80</f>
        <v>40~60</v>
      </c>
      <c r="H8" s="2202" t="str">
        <f>'XM.FILE GOC'!$F$80</f>
        <v>(50±5)</v>
      </c>
      <c r="I8" s="2205">
        <f>'XM.FILE GOC'!I80</f>
        <v>49.648500000000006</v>
      </c>
      <c r="J8" s="969" t="s">
        <v>8</v>
      </c>
      <c r="K8" s="970">
        <f>'XM.FILE GOC'!L80</f>
        <v>4.0334624999999358</v>
      </c>
      <c r="L8" s="971" t="s">
        <v>9</v>
      </c>
      <c r="M8" s="1573">
        <f>'3.XT-C KH'!M8</f>
        <v>50.3</v>
      </c>
      <c r="N8" s="908" t="s">
        <v>8</v>
      </c>
      <c r="O8" s="1588">
        <f>IF(M8=0,"",('XM.FILE GOC'!$G$80-M8)*11475/1000)</f>
        <v>-3.4424999999999675</v>
      </c>
      <c r="P8" s="909" t="s">
        <v>9</v>
      </c>
      <c r="Q8" s="2205">
        <f>'XM.FILE GOC'!P80</f>
        <v>50.297499999999999</v>
      </c>
      <c r="R8" s="969" t="s">
        <v>8</v>
      </c>
      <c r="S8" s="970">
        <f>'XM.FILE GOC'!S80</f>
        <v>0</v>
      </c>
      <c r="T8" s="971" t="s">
        <v>9</v>
      </c>
      <c r="U8" s="1573">
        <f>'3.XT-C KH'!U8</f>
        <v>0</v>
      </c>
      <c r="V8" s="908" t="s">
        <v>8</v>
      </c>
      <c r="W8" s="1588" t="str">
        <f>IF(U8=0,"",('XM.FILE GOC'!$G$80-U8)*11475/1000)</f>
        <v/>
      </c>
      <c r="X8" s="909" t="s">
        <v>9</v>
      </c>
      <c r="Y8" s="2205">
        <f>'XM.FILE GOC'!W80</f>
        <v>50.297499999999999</v>
      </c>
      <c r="Z8" s="969" t="s">
        <v>8</v>
      </c>
      <c r="AA8" s="970">
        <f>'XM.FILE GOC'!Z80</f>
        <v>0</v>
      </c>
      <c r="AB8" s="971" t="s">
        <v>9</v>
      </c>
      <c r="AC8" s="1573">
        <f>'3.XT-C KH'!AC8</f>
        <v>0</v>
      </c>
      <c r="AD8" s="908" t="s">
        <v>8</v>
      </c>
      <c r="AE8" s="1588" t="str">
        <f>IF(AC8=0,"",('XM.FILE GOC'!$G$80-AC8)*11475/1000)</f>
        <v/>
      </c>
      <c r="AF8" s="909" t="s">
        <v>9</v>
      </c>
      <c r="AG8" s="1567" t="s">
        <v>39</v>
      </c>
    </row>
    <row r="9" spans="1:35" ht="49.5" customHeight="1">
      <c r="A9" s="3250"/>
      <c r="B9" s="3253"/>
      <c r="C9" s="3254"/>
      <c r="D9" s="3164" t="s">
        <v>230</v>
      </c>
      <c r="E9" s="3165"/>
      <c r="F9" s="896"/>
      <c r="G9" s="897" t="s">
        <v>1260</v>
      </c>
      <c r="H9" s="2202"/>
      <c r="I9" s="2191"/>
      <c r="J9" s="58"/>
      <c r="K9" s="952">
        <f>K8/25*8.5</f>
        <v>1.3713772499999783</v>
      </c>
      <c r="L9" s="587" t="s">
        <v>10</v>
      </c>
      <c r="M9" s="1573">
        <f>'3.XT-C KH'!M9</f>
        <v>0</v>
      </c>
      <c r="N9" s="910" t="s">
        <v>8</v>
      </c>
      <c r="O9" s="1586">
        <f>IF(M8=0,"",O8/25*8.5)</f>
        <v>-1.1704499999999891</v>
      </c>
      <c r="P9" s="911" t="s">
        <v>10</v>
      </c>
      <c r="Q9" s="2191"/>
      <c r="R9" s="58"/>
      <c r="S9" s="952">
        <f>S8/25*8.5</f>
        <v>0</v>
      </c>
      <c r="T9" s="587" t="s">
        <v>10</v>
      </c>
      <c r="U9" s="1573">
        <f>'3.XT-C KH'!U9</f>
        <v>0</v>
      </c>
      <c r="V9" s="910" t="s">
        <v>8</v>
      </c>
      <c r="W9" s="1586" t="str">
        <f>IF(U8=0,"",W8/25*8.5)</f>
        <v/>
      </c>
      <c r="X9" s="911" t="s">
        <v>10</v>
      </c>
      <c r="Y9" s="2191"/>
      <c r="Z9" s="58"/>
      <c r="AA9" s="952">
        <f>AA8/25*8.5</f>
        <v>0</v>
      </c>
      <c r="AB9" s="587" t="s">
        <v>10</v>
      </c>
      <c r="AC9" s="1573">
        <f>'3.XT-C KH'!AC9</f>
        <v>0</v>
      </c>
      <c r="AD9" s="910" t="s">
        <v>8</v>
      </c>
      <c r="AE9" s="1586" t="str">
        <f>IF(AC8=0,"",AE8/25*8.5)</f>
        <v/>
      </c>
      <c r="AF9" s="911" t="s">
        <v>10</v>
      </c>
      <c r="AG9" s="1567"/>
    </row>
    <row r="10" spans="1:35" ht="49.5" customHeight="1">
      <c r="A10" s="3249">
        <v>3</v>
      </c>
      <c r="B10" s="3162" t="s">
        <v>942</v>
      </c>
      <c r="C10" s="3163"/>
      <c r="D10" s="3134" t="s">
        <v>231</v>
      </c>
      <c r="E10" s="3136" t="s">
        <v>231</v>
      </c>
      <c r="F10" s="1570" t="s">
        <v>4</v>
      </c>
      <c r="G10" s="897" t="str">
        <f>'XM.FILE GOC'!$E$82</f>
        <v>50~70</v>
      </c>
      <c r="H10" s="2202" t="str">
        <f>'XM.FILE GOC'!$F$82</f>
        <v>(60±5)</v>
      </c>
      <c r="I10" s="2205">
        <f>'XM.FILE GOC'!I82</f>
        <v>61.446000000000005</v>
      </c>
      <c r="J10" s="58" t="s">
        <v>8</v>
      </c>
      <c r="K10" s="586">
        <f>'XM.FILE GOC'!L82</f>
        <v>0</v>
      </c>
      <c r="L10" s="587" t="s">
        <v>9</v>
      </c>
      <c r="M10" s="1573">
        <f>'3.XT-C KH'!M10</f>
        <v>0</v>
      </c>
      <c r="N10" s="908" t="s">
        <v>8</v>
      </c>
      <c r="O10" s="1588" t="str">
        <f>IF(M10=0,"",('XM.FILE GOC'!$G$82-M10)*8200/1000)</f>
        <v/>
      </c>
      <c r="P10" s="909" t="s">
        <v>9</v>
      </c>
      <c r="Q10" s="2205">
        <f>'XM.FILE GOC'!P82</f>
        <v>61.908000000000001</v>
      </c>
      <c r="R10" s="58" t="s">
        <v>8</v>
      </c>
      <c r="S10" s="586">
        <f>'XM.FILE GOC'!S82</f>
        <v>0</v>
      </c>
      <c r="T10" s="587" t="s">
        <v>9</v>
      </c>
      <c r="U10" s="1573">
        <f>'3.XT-C KH'!U10</f>
        <v>0</v>
      </c>
      <c r="V10" s="908" t="s">
        <v>8</v>
      </c>
      <c r="W10" s="1588" t="str">
        <f>IF(U10=0,"",('XM.FILE GOC'!$G$82-U10)*8200/1000)</f>
        <v/>
      </c>
      <c r="X10" s="909" t="s">
        <v>9</v>
      </c>
      <c r="Y10" s="2205">
        <f>'XM.FILE GOC'!W82</f>
        <v>62.370000000000005</v>
      </c>
      <c r="Z10" s="58" t="s">
        <v>8</v>
      </c>
      <c r="AA10" s="586">
        <f>'XM.FILE GOC'!Z82</f>
        <v>0</v>
      </c>
      <c r="AB10" s="971" t="s">
        <v>9</v>
      </c>
      <c r="AC10" s="1573">
        <f>'3.XT-C KH'!AC10</f>
        <v>0</v>
      </c>
      <c r="AD10" s="908" t="s">
        <v>8</v>
      </c>
      <c r="AE10" s="1588" t="str">
        <f>IF(AC10=0,"",('XM.FILE GOC'!$G$82-AC10)*8200/1000)</f>
        <v/>
      </c>
      <c r="AF10" s="909" t="s">
        <v>9</v>
      </c>
      <c r="AG10" s="1567" t="s">
        <v>39</v>
      </c>
    </row>
    <row r="11" spans="1:35" ht="49.5" customHeight="1">
      <c r="A11" s="3255"/>
      <c r="B11" s="3163"/>
      <c r="C11" s="3163"/>
      <c r="D11" s="3134" t="s">
        <v>232</v>
      </c>
      <c r="E11" s="3136" t="s">
        <v>232</v>
      </c>
      <c r="F11" s="896"/>
      <c r="G11" s="897" t="s">
        <v>1261</v>
      </c>
      <c r="H11" s="2202"/>
      <c r="I11" s="2191"/>
      <c r="J11" s="58"/>
      <c r="K11" s="952">
        <f>K10/25*8</f>
        <v>0</v>
      </c>
      <c r="L11" s="587" t="s">
        <v>10</v>
      </c>
      <c r="M11" s="1573">
        <f>'3.XT-C KH'!M11</f>
        <v>0</v>
      </c>
      <c r="N11" s="910" t="s">
        <v>8</v>
      </c>
      <c r="O11" s="1586" t="str">
        <f>IF(M10=0,"",O10/25*8)</f>
        <v/>
      </c>
      <c r="P11" s="911" t="s">
        <v>10</v>
      </c>
      <c r="Q11" s="2191"/>
      <c r="R11" s="58"/>
      <c r="S11" s="952">
        <f>S10/25*8</f>
        <v>0</v>
      </c>
      <c r="T11" s="587" t="s">
        <v>10</v>
      </c>
      <c r="U11" s="1573">
        <f>'3.XT-C KH'!U11</f>
        <v>0</v>
      </c>
      <c r="V11" s="910" t="s">
        <v>8</v>
      </c>
      <c r="W11" s="1586" t="str">
        <f>IF(U10=0,"",W10/25*8)</f>
        <v/>
      </c>
      <c r="X11" s="911" t="s">
        <v>10</v>
      </c>
      <c r="Y11" s="2191"/>
      <c r="Z11" s="58"/>
      <c r="AA11" s="952">
        <f>AA10/25*8</f>
        <v>0</v>
      </c>
      <c r="AB11" s="587" t="s">
        <v>10</v>
      </c>
      <c r="AC11" s="1573">
        <f>'3.XT-C KH'!AC11</f>
        <v>0</v>
      </c>
      <c r="AD11" s="910" t="s">
        <v>8</v>
      </c>
      <c r="AE11" s="1586" t="str">
        <f>IF(AC10=0,"",AE10/25*8)</f>
        <v/>
      </c>
      <c r="AF11" s="911" t="s">
        <v>10</v>
      </c>
      <c r="AG11" s="1567"/>
    </row>
    <row r="12" spans="1:35" ht="49.5" customHeight="1">
      <c r="A12" s="3249">
        <v>4</v>
      </c>
      <c r="B12" s="3162" t="s">
        <v>943</v>
      </c>
      <c r="C12" s="3163"/>
      <c r="D12" s="3134" t="s">
        <v>231</v>
      </c>
      <c r="E12" s="3136" t="s">
        <v>231</v>
      </c>
      <c r="F12" s="1570" t="s">
        <v>4</v>
      </c>
      <c r="G12" s="897" t="str">
        <f>'XM.FILE GOC'!$E$84</f>
        <v>50~70</v>
      </c>
      <c r="H12" s="2202" t="str">
        <f>'XM.FILE GOC'!$F$84</f>
        <v>(60±5)</v>
      </c>
      <c r="I12" s="2205">
        <f>'XM.FILE GOC'!I84</f>
        <v>59.598000000000006</v>
      </c>
      <c r="J12" s="969" t="s">
        <v>8</v>
      </c>
      <c r="K12" s="970">
        <f>'XM.FILE GOC'!L84</f>
        <v>3.4845359999999475</v>
      </c>
      <c r="L12" s="971" t="s">
        <v>9</v>
      </c>
      <c r="M12" s="1573">
        <f>'3.XT-C KH'!M12</f>
        <v>60.3</v>
      </c>
      <c r="N12" s="908" t="s">
        <v>8</v>
      </c>
      <c r="O12" s="1589">
        <f>IF(M12=0,"",('XM.FILE GOC'!$G$84-M12)*8668/1000)</f>
        <v>-2.6003999999999756</v>
      </c>
      <c r="P12" s="909" t="s">
        <v>9</v>
      </c>
      <c r="Q12" s="2205">
        <f>'XM.FILE GOC'!P84</f>
        <v>60.753</v>
      </c>
      <c r="R12" s="969" t="s">
        <v>8</v>
      </c>
      <c r="S12" s="970">
        <f>'XM.FILE GOC'!S84</f>
        <v>0</v>
      </c>
      <c r="T12" s="971" t="s">
        <v>9</v>
      </c>
      <c r="U12" s="1573">
        <f>'3.XT-C KH'!U12</f>
        <v>0</v>
      </c>
      <c r="V12" s="908" t="s">
        <v>8</v>
      </c>
      <c r="W12" s="1589" t="str">
        <f>IF(U12=0,"",('XM.FILE GOC'!$G$84-U12)*8668/1000)</f>
        <v/>
      </c>
      <c r="X12" s="909" t="s">
        <v>9</v>
      </c>
      <c r="Y12" s="2205">
        <f>'XM.FILE GOC'!W84</f>
        <v>61.215000000000003</v>
      </c>
      <c r="Z12" s="969" t="s">
        <v>8</v>
      </c>
      <c r="AA12" s="970">
        <f>'XM.FILE GOC'!Z84</f>
        <v>0</v>
      </c>
      <c r="AB12" s="971" t="s">
        <v>9</v>
      </c>
      <c r="AC12" s="1573">
        <f>'3.XT-C KH'!AC12</f>
        <v>0</v>
      </c>
      <c r="AD12" s="908" t="s">
        <v>8</v>
      </c>
      <c r="AE12" s="1589" t="str">
        <f>IF(AC12=0,"",('XM.FILE GOC'!$G$84-AC12)*8668/1000)</f>
        <v/>
      </c>
      <c r="AF12" s="909" t="s">
        <v>9</v>
      </c>
      <c r="AG12" s="1567" t="s">
        <v>39</v>
      </c>
    </row>
    <row r="13" spans="1:35" ht="49.5" customHeight="1">
      <c r="A13" s="3255"/>
      <c r="B13" s="3163"/>
      <c r="C13" s="3163"/>
      <c r="D13" s="3134" t="s">
        <v>232</v>
      </c>
      <c r="E13" s="3136" t="s">
        <v>232</v>
      </c>
      <c r="F13" s="896"/>
      <c r="G13" s="897" t="s">
        <v>1261</v>
      </c>
      <c r="H13" s="2202"/>
      <c r="I13" s="2191"/>
      <c r="J13" s="58"/>
      <c r="K13" s="952">
        <f>K12/25*8</f>
        <v>1.1150515199999831</v>
      </c>
      <c r="L13" s="587" t="s">
        <v>10</v>
      </c>
      <c r="M13" s="1573">
        <f>'3.XT-C KH'!M13</f>
        <v>0</v>
      </c>
      <c r="N13" s="910" t="s">
        <v>8</v>
      </c>
      <c r="O13" s="1586">
        <f>IF(M12=0,"",O12/25*8)</f>
        <v>-0.83212799999999221</v>
      </c>
      <c r="P13" s="911" t="s">
        <v>10</v>
      </c>
      <c r="Q13" s="2191"/>
      <c r="R13" s="58"/>
      <c r="S13" s="952">
        <f>S12/25*8</f>
        <v>0</v>
      </c>
      <c r="T13" s="587" t="s">
        <v>10</v>
      </c>
      <c r="U13" s="1573">
        <f>'3.XT-C KH'!U13</f>
        <v>0</v>
      </c>
      <c r="V13" s="910" t="s">
        <v>8</v>
      </c>
      <c r="W13" s="1586" t="str">
        <f>IF(U12=0,"",W12/25*8)</f>
        <v/>
      </c>
      <c r="X13" s="911" t="s">
        <v>10</v>
      </c>
      <c r="Y13" s="2191"/>
      <c r="Z13" s="58"/>
      <c r="AA13" s="952">
        <f>AA12/25*8</f>
        <v>0</v>
      </c>
      <c r="AB13" s="587" t="s">
        <v>10</v>
      </c>
      <c r="AC13" s="1573">
        <f>'3.XT-C KH'!AC13</f>
        <v>0</v>
      </c>
      <c r="AD13" s="910" t="s">
        <v>8</v>
      </c>
      <c r="AE13" s="1586" t="str">
        <f>IF(AC12=0,"",AE12/25*8)</f>
        <v/>
      </c>
      <c r="AF13" s="911" t="s">
        <v>10</v>
      </c>
      <c r="AG13" s="1567"/>
    </row>
    <row r="14" spans="1:35" ht="49.5" customHeight="1">
      <c r="A14" s="3249">
        <v>5</v>
      </c>
      <c r="B14" s="3934" t="s">
        <v>944</v>
      </c>
      <c r="C14" s="3936" t="s">
        <v>945</v>
      </c>
      <c r="D14" s="3937"/>
      <c r="E14" s="3938"/>
      <c r="F14" s="632" t="s">
        <v>4</v>
      </c>
      <c r="G14" s="897" t="str">
        <f>'XM.FILE GOC'!$E$86</f>
        <v>135~ 145</v>
      </c>
      <c r="H14" s="2202" t="str">
        <f>'XM.FILE GOC'!$F$86</f>
        <v>(140±5)</v>
      </c>
      <c r="I14" s="2207">
        <f>'XM.FILE GOC'!I86</f>
        <v>142.4</v>
      </c>
      <c r="J14" s="969" t="s">
        <v>8</v>
      </c>
      <c r="K14" s="970">
        <f>'XM.FILE GOC'!L86</f>
        <v>0</v>
      </c>
      <c r="L14" s="971" t="s">
        <v>9</v>
      </c>
      <c r="M14" s="1573">
        <f>'3.XT-C KH'!M14</f>
        <v>0</v>
      </c>
      <c r="N14" s="908" t="s">
        <v>8</v>
      </c>
      <c r="O14" s="1589" t="str">
        <f>IF(M14=0,"",('XM.FILE GOC'!$G$86-M14)*53066/1000)</f>
        <v/>
      </c>
      <c r="P14" s="909" t="s">
        <v>9</v>
      </c>
      <c r="Q14" s="2207">
        <f>'XM.FILE GOC'!P86</f>
        <v>143.19999999999999</v>
      </c>
      <c r="R14" s="969" t="s">
        <v>8</v>
      </c>
      <c r="S14" s="970">
        <f>'XM.FILE GOC'!S86</f>
        <v>0</v>
      </c>
      <c r="T14" s="971" t="s">
        <v>9</v>
      </c>
      <c r="U14" s="1573">
        <f>'3.XT-C KH'!U14</f>
        <v>0</v>
      </c>
      <c r="V14" s="908" t="s">
        <v>8</v>
      </c>
      <c r="W14" s="1589" t="str">
        <f>IF(U14=0,"",('XM.FILE GOC'!$G$86-U14)*53066/1000)</f>
        <v/>
      </c>
      <c r="X14" s="909" t="s">
        <v>9</v>
      </c>
      <c r="Y14" s="2207">
        <f>'XM.FILE GOC'!W86</f>
        <v>138.80000000000001</v>
      </c>
      <c r="Z14" s="969" t="s">
        <v>8</v>
      </c>
      <c r="AA14" s="970">
        <f>'XM.FILE GOC'!Z86</f>
        <v>63.679199999999391</v>
      </c>
      <c r="AB14" s="971" t="s">
        <v>9</v>
      </c>
      <c r="AC14" s="1573">
        <f>'3.XT-C KH'!AC14</f>
        <v>140</v>
      </c>
      <c r="AD14" s="908" t="s">
        <v>8</v>
      </c>
      <c r="AE14" s="1589">
        <f>IF(AC14=0,"",('XM.FILE GOC'!$G$86-AC14)*53066/1000)</f>
        <v>0</v>
      </c>
      <c r="AF14" s="909" t="s">
        <v>9</v>
      </c>
      <c r="AG14" s="1567" t="s">
        <v>40</v>
      </c>
    </row>
    <row r="15" spans="1:35" ht="49.5" customHeight="1">
      <c r="A15" s="3255"/>
      <c r="B15" s="3935"/>
      <c r="C15" s="3939" t="s">
        <v>946</v>
      </c>
      <c r="D15" s="3940"/>
      <c r="E15" s="3941"/>
      <c r="F15" s="2272" t="s">
        <v>4</v>
      </c>
      <c r="G15" s="1577" t="str">
        <f>'XM.FILE GOC'!$E$87</f>
        <v>7~10</v>
      </c>
      <c r="H15" s="2216" t="str">
        <f>'XM.FILE GOC'!$F$87</f>
        <v>(8.5±1)</v>
      </c>
      <c r="I15" s="2273">
        <f>'XM.FILE GOC'!I87</f>
        <v>8.3849999999999998</v>
      </c>
      <c r="J15" s="2274" t="s">
        <v>8</v>
      </c>
      <c r="K15" s="2275">
        <f>'XM.FILE GOC'!L87</f>
        <v>6.1025900000000108</v>
      </c>
      <c r="L15" s="2276" t="s">
        <v>9</v>
      </c>
      <c r="M15" s="2102">
        <f>'3.XT-C KH'!M15</f>
        <v>8.4</v>
      </c>
      <c r="N15" s="2277" t="s">
        <v>8</v>
      </c>
      <c r="O15" s="2278">
        <f>IF(M15=0,"",('XM.FILE GOC'!$G$87-M15)*53066/1000)</f>
        <v>5.3065999999999809</v>
      </c>
      <c r="P15" s="2279" t="s">
        <v>9</v>
      </c>
      <c r="Q15" s="2273">
        <f>'XM.FILE GOC'!P87</f>
        <v>8.3849999999999998</v>
      </c>
      <c r="R15" s="2274" t="s">
        <v>8</v>
      </c>
      <c r="S15" s="2275">
        <f>'XM.FILE GOC'!S87</f>
        <v>6.1025900000000108</v>
      </c>
      <c r="T15" s="2276" t="s">
        <v>9</v>
      </c>
      <c r="U15" s="2102">
        <f>'3.XT-C KH'!U15</f>
        <v>8.5</v>
      </c>
      <c r="V15" s="2277" t="s">
        <v>8</v>
      </c>
      <c r="W15" s="2278">
        <f>IF(U15=0,"",('XM.FILE GOC'!$G$87-U15)*53066/1000)</f>
        <v>0</v>
      </c>
      <c r="X15" s="2279" t="s">
        <v>9</v>
      </c>
      <c r="Y15" s="2273">
        <f>'XM.FILE GOC'!W87</f>
        <v>8.4500000000000011</v>
      </c>
      <c r="Z15" s="2274" t="s">
        <v>8</v>
      </c>
      <c r="AA15" s="2275">
        <f>'XM.FILE GOC'!Z87</f>
        <v>2.6532999999999434</v>
      </c>
      <c r="AB15" s="2279" t="s">
        <v>9</v>
      </c>
      <c r="AC15" s="2102">
        <f>'3.XT-C KH'!AC15</f>
        <v>8.6</v>
      </c>
      <c r="AD15" s="2277" t="s">
        <v>8</v>
      </c>
      <c r="AE15" s="2278">
        <f>IF(AC15=0,"",('XM.FILE GOC'!$G$87-AC15)*53066/1000)</f>
        <v>-5.3065999999999809</v>
      </c>
      <c r="AF15" s="2279" t="s">
        <v>9</v>
      </c>
      <c r="AG15" s="2270" t="s">
        <v>41</v>
      </c>
    </row>
    <row r="16" spans="1:35" s="7" customFormat="1" ht="49.5" customHeight="1">
      <c r="A16" s="3921">
        <v>6</v>
      </c>
      <c r="B16" s="3942" t="s">
        <v>37</v>
      </c>
      <c r="C16" s="3943"/>
      <c r="D16" s="3943"/>
      <c r="E16" s="3946"/>
      <c r="F16" s="2282" t="s">
        <v>3</v>
      </c>
      <c r="G16" s="2283" t="s">
        <v>1302</v>
      </c>
      <c r="H16" s="2284" t="s">
        <v>1292</v>
      </c>
      <c r="I16" s="2285">
        <f>'XM.FILE GOC'!I97</f>
        <v>13.7</v>
      </c>
      <c r="J16" s="2286"/>
      <c r="K16" s="2287">
        <f>'XM.FILE GOC'!L97</f>
        <v>10.080000000000023</v>
      </c>
      <c r="L16" s="2288" t="s">
        <v>10</v>
      </c>
      <c r="M16" s="2289"/>
      <c r="N16" s="2290"/>
      <c r="O16" s="2291" t="str">
        <f>IF(M16=0,"",('XM.FILE GOC'!$G$97-M16)*3360/102)</f>
        <v/>
      </c>
      <c r="P16" s="2292" t="s">
        <v>10</v>
      </c>
      <c r="Q16" s="2293">
        <f>'XM.FILE GOC'!P97</f>
        <v>14.1</v>
      </c>
      <c r="R16" s="2286"/>
      <c r="S16" s="2287">
        <f>'XM.FILE GOC'!S97</f>
        <v>0</v>
      </c>
      <c r="T16" s="2288" t="s">
        <v>10</v>
      </c>
      <c r="U16" s="2289"/>
      <c r="V16" s="2290"/>
      <c r="W16" s="2291" t="str">
        <f>IF(U16=0,"",('XM.FILE GOC'!$G$97-U16)*3360/102)</f>
        <v/>
      </c>
      <c r="X16" s="2292" t="s">
        <v>10</v>
      </c>
      <c r="Y16" s="2293">
        <f>'XM.FILE GOC'!W97</f>
        <v>14</v>
      </c>
      <c r="Z16" s="2286"/>
      <c r="AA16" s="2287">
        <f>'XM.FILE GOC'!Z97</f>
        <v>0</v>
      </c>
      <c r="AB16" s="2288" t="s">
        <v>10</v>
      </c>
      <c r="AC16" s="2289"/>
      <c r="AD16" s="2290"/>
      <c r="AE16" s="2291" t="str">
        <f>IF(AC16=0,"",('XM.FILE GOC'!$G$97-AC16)*3360/102)</f>
        <v/>
      </c>
      <c r="AF16" s="2292" t="s">
        <v>10</v>
      </c>
      <c r="AG16" s="2294" t="s">
        <v>42</v>
      </c>
      <c r="AI16" s="1571"/>
    </row>
    <row r="17" spans="1:35" ht="49.5" customHeight="1">
      <c r="A17" s="3922"/>
      <c r="B17" s="3944"/>
      <c r="C17" s="3945"/>
      <c r="D17" s="3945"/>
      <c r="E17" s="3947"/>
      <c r="F17" s="2295" t="s">
        <v>5</v>
      </c>
      <c r="G17" s="2296" t="s">
        <v>1300</v>
      </c>
      <c r="H17" s="2297" t="s">
        <v>1293</v>
      </c>
      <c r="I17" s="2298">
        <f>'XM.FILE GOC'!I98</f>
        <v>1.67</v>
      </c>
      <c r="J17" s="2299"/>
      <c r="K17" s="2300"/>
      <c r="L17" s="2301"/>
      <c r="M17" s="2302"/>
      <c r="N17" s="2303"/>
      <c r="O17" s="2304"/>
      <c r="P17" s="2305"/>
      <c r="Q17" s="2306">
        <f>'XM.FILE GOC'!P98</f>
        <v>1.71</v>
      </c>
      <c r="R17" s="2299"/>
      <c r="S17" s="2300"/>
      <c r="T17" s="2301"/>
      <c r="U17" s="2302"/>
      <c r="V17" s="2303"/>
      <c r="W17" s="2304"/>
      <c r="X17" s="2305"/>
      <c r="Y17" s="2306">
        <f>'XM.FILE GOC'!W98</f>
        <v>1.69</v>
      </c>
      <c r="Z17" s="2307"/>
      <c r="AA17" s="2308"/>
      <c r="AB17" s="2309"/>
      <c r="AC17" s="2302"/>
      <c r="AD17" s="2303"/>
      <c r="AE17" s="2304"/>
      <c r="AF17" s="2305"/>
      <c r="AG17" s="2310"/>
    </row>
    <row r="18" spans="1:35" ht="49.5" customHeight="1">
      <c r="A18" s="2680">
        <v>7</v>
      </c>
      <c r="B18" s="3264" t="s">
        <v>81</v>
      </c>
      <c r="C18" s="3265"/>
      <c r="D18" s="3265"/>
      <c r="E18" s="3266"/>
      <c r="F18" s="632" t="s">
        <v>6</v>
      </c>
      <c r="G18" s="897" t="str">
        <f>'XM.FILE GOC'!$E$90</f>
        <v>40~50</v>
      </c>
      <c r="H18" s="2202" t="str">
        <f>'XM.FILE GOC'!$F$90</f>
        <v>(45±5)</v>
      </c>
      <c r="I18" s="1747">
        <f>'XM.FILE GOC'!I90</f>
        <v>0.44500000000000001</v>
      </c>
      <c r="J18" s="969" t="s">
        <v>8</v>
      </c>
      <c r="K18" s="970">
        <f>'XM.FILE GOC'!L90</f>
        <v>16.170000000000016</v>
      </c>
      <c r="L18" s="971" t="s">
        <v>10</v>
      </c>
      <c r="M18" s="914">
        <f>IF(I18&gt;44.99%,"",'3.XT-C KH'!M18)</f>
        <v>0.45500000000000002</v>
      </c>
      <c r="N18" s="908" t="s">
        <v>8</v>
      </c>
      <c r="O18" s="935">
        <f>IF(M18="","",('XM.FILE GOC'!$G$90-M18)*3234)</f>
        <v>-16.170000000000016</v>
      </c>
      <c r="P18" s="911" t="s">
        <v>10</v>
      </c>
      <c r="Q18" s="1747">
        <f>'XM.FILE GOC'!P90</f>
        <v>0.45624999999999999</v>
      </c>
      <c r="R18" s="969" t="s">
        <v>8</v>
      </c>
      <c r="S18" s="970">
        <f>'XM.FILE GOC'!S90</f>
        <v>0</v>
      </c>
      <c r="T18" s="971" t="s">
        <v>10</v>
      </c>
      <c r="U18" s="914" t="str">
        <f>IF(Q18&gt;44.99%,"",'3.XT-C KH'!U18)</f>
        <v/>
      </c>
      <c r="V18" s="908" t="s">
        <v>8</v>
      </c>
      <c r="W18" s="935" t="str">
        <f>IF(U18="","",('XM.FILE GOC'!$G$90-U18)*3234)</f>
        <v/>
      </c>
      <c r="X18" s="911" t="s">
        <v>10</v>
      </c>
      <c r="Y18" s="1747">
        <f>'XM.FILE GOC'!W90</f>
        <v>0.49274999999999997</v>
      </c>
      <c r="Z18" s="969" t="s">
        <v>8</v>
      </c>
      <c r="AA18" s="970">
        <f>'XM.FILE GOC'!Z90</f>
        <v>0</v>
      </c>
      <c r="AB18" s="971" t="s">
        <v>10</v>
      </c>
      <c r="AC18" s="914" t="str">
        <f>IF(Y18&gt;44.99%,"",'3.XT-C KH'!AC18)</f>
        <v/>
      </c>
      <c r="AD18" s="908" t="s">
        <v>8</v>
      </c>
      <c r="AE18" s="935" t="str">
        <f>IF(AC18="","",('XM.FILE GOC'!$G$90-AC18)*3234)</f>
        <v/>
      </c>
      <c r="AF18" s="911" t="s">
        <v>10</v>
      </c>
      <c r="AG18" s="2678"/>
    </row>
    <row r="19" spans="1:35" ht="49.5" customHeight="1">
      <c r="A19" s="2677">
        <v>8</v>
      </c>
      <c r="B19" s="3239" t="s">
        <v>1583</v>
      </c>
      <c r="C19" s="3240"/>
      <c r="D19" s="3240"/>
      <c r="E19" s="3241"/>
      <c r="F19" s="632" t="s">
        <v>6</v>
      </c>
      <c r="G19" s="897" t="str">
        <f>'XM.FILE GOC'!$E$91</f>
        <v>10~20</v>
      </c>
      <c r="H19" s="2202" t="str">
        <f>'XM.FILE GOC'!$F$91</f>
        <v>(15±5)</v>
      </c>
      <c r="I19" s="2714">
        <f>'XM.FILE GOC'!I91</f>
        <v>0.156</v>
      </c>
      <c r="J19" s="969" t="s">
        <v>8</v>
      </c>
      <c r="K19" s="970">
        <f>'XM.FILE GOC'!L91</f>
        <v>0</v>
      </c>
      <c r="L19" s="971" t="s">
        <v>10</v>
      </c>
      <c r="M19" s="914" t="str">
        <f>IF(I19&gt;7.99%,"",'3.XT-C KH'!M19)</f>
        <v/>
      </c>
      <c r="N19" s="908" t="s">
        <v>8</v>
      </c>
      <c r="O19" s="1588" t="str">
        <f>IF(M19="","",('XM.FILE GOC'!$G$91-M19)*3361)</f>
        <v/>
      </c>
      <c r="P19" s="911" t="s">
        <v>10</v>
      </c>
      <c r="Q19" s="2714">
        <f>'XM.FILE GOC'!P91</f>
        <v>0.152</v>
      </c>
      <c r="R19" s="969" t="s">
        <v>8</v>
      </c>
      <c r="S19" s="970">
        <f>'XM.FILE GOC'!S91</f>
        <v>0</v>
      </c>
      <c r="T19" s="971" t="s">
        <v>10</v>
      </c>
      <c r="U19" s="914" t="str">
        <f>IF(Q19&gt;7.99%,"",'3.XT-C KH'!U19)</f>
        <v/>
      </c>
      <c r="V19" s="908" t="s">
        <v>8</v>
      </c>
      <c r="W19" s="1588" t="str">
        <f>IF(U19="","",('XM.FILE GOC'!$G$91-U19)*3361)</f>
        <v/>
      </c>
      <c r="X19" s="911" t="s">
        <v>10</v>
      </c>
      <c r="Y19" s="2714">
        <f>'XM.FILE GOC'!W91</f>
        <v>0.14599999999999999</v>
      </c>
      <c r="Z19" s="969" t="s">
        <v>8</v>
      </c>
      <c r="AA19" s="970">
        <f>'XM.FILE GOC'!Z91</f>
        <v>13.444000000000011</v>
      </c>
      <c r="AB19" s="971" t="s">
        <v>10</v>
      </c>
      <c r="AC19" s="914" t="str">
        <f>IF(Y19&gt;7.99%,"",'3.XT-C KH'!AC19)</f>
        <v/>
      </c>
      <c r="AD19" s="908" t="s">
        <v>8</v>
      </c>
      <c r="AE19" s="1588" t="str">
        <f>IF(AC19="","",('XM.FILE GOC'!$G$91-AC19)*3361)</f>
        <v/>
      </c>
      <c r="AF19" s="911" t="s">
        <v>10</v>
      </c>
      <c r="AG19" s="2271" t="s">
        <v>43</v>
      </c>
    </row>
    <row r="20" spans="1:35" ht="49.5" customHeight="1">
      <c r="A20" s="2680">
        <v>9</v>
      </c>
      <c r="B20" s="3239" t="s">
        <v>1584</v>
      </c>
      <c r="C20" s="3240"/>
      <c r="D20" s="3240"/>
      <c r="E20" s="3241"/>
      <c r="F20" s="632" t="s">
        <v>6</v>
      </c>
      <c r="G20" s="897" t="str">
        <f>'XM.FILE GOC'!$E$92</f>
        <v>40~50</v>
      </c>
      <c r="H20" s="2202" t="str">
        <f>'XM.FILE GOC'!$F$92</f>
        <v>(45±5)</v>
      </c>
      <c r="I20" s="1747">
        <f>'XM.FILE GOC'!I92</f>
        <v>0.44712499999999994</v>
      </c>
      <c r="J20" s="969" t="s">
        <v>8</v>
      </c>
      <c r="K20" s="970">
        <f>'XM.FILE GOC'!L92</f>
        <v>9.6628750000002412</v>
      </c>
      <c r="L20" s="971" t="s">
        <v>10</v>
      </c>
      <c r="M20" s="914">
        <f>IF(I20&gt;44.99%,"",'3.XT-C KH'!M20)</f>
        <v>0.46500000000000002</v>
      </c>
      <c r="N20" s="908" t="s">
        <v>8</v>
      </c>
      <c r="O20" s="1588">
        <f>IF(M20="","",('XM.FILE GOC'!$G$92-M20)*3361)</f>
        <v>-50.415000000000042</v>
      </c>
      <c r="P20" s="911" t="s">
        <v>10</v>
      </c>
      <c r="Q20" s="1747">
        <f>'XM.FILE GOC'!P92</f>
        <v>0.46993750000000001</v>
      </c>
      <c r="R20" s="969" t="s">
        <v>8</v>
      </c>
      <c r="S20" s="970">
        <f>'XM.FILE GOC'!S92</f>
        <v>0</v>
      </c>
      <c r="T20" s="971" t="s">
        <v>10</v>
      </c>
      <c r="U20" s="914" t="str">
        <f>IF(Q20&gt;44.99%,"",'3.XT-C KH'!U20)</f>
        <v/>
      </c>
      <c r="V20" s="908" t="s">
        <v>8</v>
      </c>
      <c r="W20" s="1588" t="str">
        <f>IF(U20="","",('XM.FILE GOC'!$G$92-U20)*3361)</f>
        <v/>
      </c>
      <c r="X20" s="911" t="s">
        <v>10</v>
      </c>
      <c r="Y20" s="1747">
        <f>'XM.FILE GOC'!W92</f>
        <v>0.48362500000000003</v>
      </c>
      <c r="Z20" s="969" t="s">
        <v>8</v>
      </c>
      <c r="AA20" s="970">
        <f>'XM.FILE GOC'!Z92</f>
        <v>0</v>
      </c>
      <c r="AB20" s="971" t="s">
        <v>10</v>
      </c>
      <c r="AC20" s="914" t="str">
        <f>IF(Y20&gt;44.99%,"",'3.XT-C KH'!AC20)</f>
        <v/>
      </c>
      <c r="AD20" s="908" t="s">
        <v>8</v>
      </c>
      <c r="AE20" s="1588" t="str">
        <f>IF(AC20="","",('XM.FILE GOC'!$G$92-AC20)*3361)</f>
        <v/>
      </c>
      <c r="AF20" s="911" t="s">
        <v>10</v>
      </c>
      <c r="AG20" s="2679"/>
    </row>
    <row r="21" spans="1:35" ht="49.5" customHeight="1">
      <c r="A21" s="2677">
        <v>10</v>
      </c>
      <c r="B21" s="3236" t="s">
        <v>1585</v>
      </c>
      <c r="C21" s="3237"/>
      <c r="D21" s="3237"/>
      <c r="E21" s="3238"/>
      <c r="F21" s="632" t="s">
        <v>6</v>
      </c>
      <c r="G21" s="897" t="str">
        <f>'XM.FILE GOC'!$E$93</f>
        <v>40~50</v>
      </c>
      <c r="H21" s="2202" t="str">
        <f>'XM.FILE GOC'!$F$93</f>
        <v>(45±5)</v>
      </c>
      <c r="I21" s="1747">
        <f>'XM.FILE GOC'!I93</f>
        <v>0.45168749999999996</v>
      </c>
      <c r="J21" s="969" t="s">
        <v>8</v>
      </c>
      <c r="K21" s="970">
        <f>'XM.FILE GOC'!L93</f>
        <v>0</v>
      </c>
      <c r="L21" s="971" t="s">
        <v>10</v>
      </c>
      <c r="M21" s="914" t="str">
        <f>IF(I21&gt;44.99%,"",'3.XT-C KH'!M21)</f>
        <v/>
      </c>
      <c r="N21" s="910" t="s">
        <v>8</v>
      </c>
      <c r="O21" s="1588" t="str">
        <f>IF(M21="","",('XM.FILE GOC'!$G$93-M21)*10509)</f>
        <v/>
      </c>
      <c r="P21" s="911" t="s">
        <v>10</v>
      </c>
      <c r="Q21" s="1747">
        <f>'XM.FILE GOC'!P93</f>
        <v>0.45624999999999999</v>
      </c>
      <c r="R21" s="969" t="s">
        <v>8</v>
      </c>
      <c r="S21" s="970">
        <f>'XM.FILE GOC'!S93</f>
        <v>0</v>
      </c>
      <c r="T21" s="971" t="s">
        <v>10</v>
      </c>
      <c r="U21" s="914" t="str">
        <f>IF(Q21&gt;44.99%,"",'3.XT-C KH'!U21)</f>
        <v/>
      </c>
      <c r="V21" s="910" t="s">
        <v>8</v>
      </c>
      <c r="W21" s="1588" t="str">
        <f>IF(U21="","",('XM.FILE GOC'!$G$93-U21)*10509)</f>
        <v/>
      </c>
      <c r="X21" s="911" t="s">
        <v>10</v>
      </c>
      <c r="Y21" s="1747">
        <f>'XM.FILE GOC'!W93</f>
        <v>0.45624999999999999</v>
      </c>
      <c r="Z21" s="969" t="s">
        <v>8</v>
      </c>
      <c r="AA21" s="970">
        <f>'XM.FILE GOC'!Z93</f>
        <v>0</v>
      </c>
      <c r="AB21" s="971" t="s">
        <v>10</v>
      </c>
      <c r="AC21" s="914" t="str">
        <f>IF(Y21&gt;44.99%,"",'3.XT-C KH'!AC21)</f>
        <v/>
      </c>
      <c r="AD21" s="910" t="s">
        <v>8</v>
      </c>
      <c r="AE21" s="1588" t="str">
        <f>IF(AC21="","",('XM.FILE GOC'!$G$93-AC21)*10509)</f>
        <v/>
      </c>
      <c r="AF21" s="911" t="s">
        <v>10</v>
      </c>
      <c r="AG21" s="68" t="s">
        <v>43</v>
      </c>
    </row>
    <row r="22" spans="1:35" ht="49.5" customHeight="1">
      <c r="A22" s="2680">
        <v>11</v>
      </c>
      <c r="B22" s="3264" t="s">
        <v>947</v>
      </c>
      <c r="C22" s="3265" t="s">
        <v>947</v>
      </c>
      <c r="D22" s="3265" t="s">
        <v>947</v>
      </c>
      <c r="E22" s="3266" t="s">
        <v>947</v>
      </c>
      <c r="F22" s="632" t="s">
        <v>6</v>
      </c>
      <c r="G22" s="897" t="str">
        <f>'XM.FILE GOC'!$E$94</f>
        <v>0.5~1.0</v>
      </c>
      <c r="H22" s="2202" t="str">
        <f>'XM.FILE GOC'!$F$94</f>
        <v>(0.7±0.1)</v>
      </c>
      <c r="I22" s="2210">
        <f>'XM.FILE GOC'!I94</f>
        <v>7.4340000000000005E-3</v>
      </c>
      <c r="J22" s="969" t="s">
        <v>8</v>
      </c>
      <c r="K22" s="973">
        <f>'XM.FILE GOC'!L94</f>
        <v>0</v>
      </c>
      <c r="L22" s="974" t="s">
        <v>10</v>
      </c>
      <c r="M22" s="1572">
        <f>IF(I22&gt;0.99%,"",'3.XT-C KH'!M22)</f>
        <v>0</v>
      </c>
      <c r="N22" s="946" t="s">
        <v>8</v>
      </c>
      <c r="O22" s="1590">
        <f>IF(M22="","",('XM.FILE GOC'!$G$94-M22)*2808)</f>
        <v>19.655999999999999</v>
      </c>
      <c r="P22" s="916" t="s">
        <v>10</v>
      </c>
      <c r="Q22" s="2210">
        <f>'XM.FILE GOC'!P94</f>
        <v>7.0559999999999998E-3</v>
      </c>
      <c r="R22" s="969" t="s">
        <v>8</v>
      </c>
      <c r="S22" s="973">
        <f>'XM.FILE GOC'!S94</f>
        <v>0</v>
      </c>
      <c r="T22" s="974" t="s">
        <v>10</v>
      </c>
      <c r="U22" s="1572">
        <f>IF(Q22&gt;0.99%,"",'3.XT-C KH'!U22)</f>
        <v>0</v>
      </c>
      <c r="V22" s="946" t="s">
        <v>8</v>
      </c>
      <c r="W22" s="1590">
        <f>IF(U22="","",('XM.FILE GOC'!$G$94-U22)*2808)</f>
        <v>19.655999999999999</v>
      </c>
      <c r="X22" s="916" t="s">
        <v>10</v>
      </c>
      <c r="Y22" s="2210">
        <f>'XM.FILE GOC'!W94</f>
        <v>7.3080000000000003E-3</v>
      </c>
      <c r="Z22" s="969" t="s">
        <v>8</v>
      </c>
      <c r="AA22" s="973">
        <f>'XM.FILE GOC'!Z94</f>
        <v>0</v>
      </c>
      <c r="AB22" s="974" t="s">
        <v>10</v>
      </c>
      <c r="AC22" s="1572">
        <f>IF(Y22&gt;0.99%,"",'3.XT-C KH'!AC22)</f>
        <v>0</v>
      </c>
      <c r="AD22" s="946" t="s">
        <v>8</v>
      </c>
      <c r="AE22" s="1590">
        <f>IF(AC22="","",('XM.FILE GOC'!$G$94-AC22)*2808)</f>
        <v>19.655999999999999</v>
      </c>
      <c r="AF22" s="916" t="s">
        <v>10</v>
      </c>
      <c r="AG22" s="1567" t="s">
        <v>44</v>
      </c>
    </row>
    <row r="23" spans="1:35" ht="49.5" hidden="1" customHeight="1">
      <c r="A23" s="2243">
        <v>11</v>
      </c>
      <c r="B23" s="3143" t="s">
        <v>73</v>
      </c>
      <c r="C23" s="3144"/>
      <c r="D23" s="3144"/>
      <c r="E23" s="3145"/>
      <c r="F23" s="2" t="s">
        <v>3</v>
      </c>
      <c r="G23" s="897" t="str">
        <f>'XM.GUI MAIL'!$E$95</f>
        <v>5~8</v>
      </c>
      <c r="H23" s="2202" t="str">
        <f>'XM.GUI MAIL'!$F$95</f>
        <v>(6±0.5)</v>
      </c>
      <c r="I23" s="1833">
        <f>'XM.FILE GOC'!AD53</f>
        <v>7.1736800000000001</v>
      </c>
      <c r="J23" s="969" t="s">
        <v>8</v>
      </c>
      <c r="K23" s="970">
        <f>'XM.FILE GOC'!AG53</f>
        <v>0</v>
      </c>
      <c r="L23" s="974" t="s">
        <v>10</v>
      </c>
      <c r="M23" s="2236"/>
      <c r="N23" s="908" t="s">
        <v>8</v>
      </c>
      <c r="O23" s="935">
        <f>('XM.FILE GOC'!$G$95-M23)*4042/95*1.028</f>
        <v>262.43216842105267</v>
      </c>
      <c r="P23" s="909" t="s">
        <v>10</v>
      </c>
      <c r="Q23" s="1833">
        <f>'XM.FILE GOC'!AK53</f>
        <v>7.0042</v>
      </c>
      <c r="R23" s="969" t="s">
        <v>8</v>
      </c>
      <c r="S23" s="970">
        <f>'XM.FILE GOC'!AN53</f>
        <v>0</v>
      </c>
      <c r="T23" s="974" t="s">
        <v>10</v>
      </c>
      <c r="U23" s="2236"/>
      <c r="V23" s="908" t="s">
        <v>8</v>
      </c>
      <c r="W23" s="935">
        <f>('XM.FILE GOC'!$G$95-U23)*4042/95*1.028</f>
        <v>262.43216842105267</v>
      </c>
      <c r="X23" s="909" t="s">
        <v>10</v>
      </c>
      <c r="Y23" s="1833">
        <f>'XM.FILE GOC'!AR53</f>
        <v>6.5</v>
      </c>
      <c r="Z23" s="969" t="s">
        <v>8</v>
      </c>
      <c r="AA23" s="970">
        <f>'XM.FILE GOC'!AU53</f>
        <v>2.875</v>
      </c>
      <c r="AB23" s="974" t="s">
        <v>10</v>
      </c>
      <c r="AC23" s="2236"/>
      <c r="AD23" s="908" t="s">
        <v>8</v>
      </c>
      <c r="AE23" s="935">
        <f>('XM.FILE GOC'!$G$95-AC23)*4042/95*1.028</f>
        <v>262.43216842105267</v>
      </c>
      <c r="AF23" s="909" t="s">
        <v>10</v>
      </c>
      <c r="AG23" s="2242"/>
    </row>
    <row r="24" spans="1:35" ht="49.5" hidden="1" customHeight="1">
      <c r="A24" s="2243">
        <v>12</v>
      </c>
      <c r="B24" s="3146"/>
      <c r="C24" s="3147"/>
      <c r="D24" s="3147"/>
      <c r="E24" s="3148"/>
      <c r="F24" s="2" t="s">
        <v>5</v>
      </c>
      <c r="G24" s="897" t="str">
        <f>'XM.GUI MAIL'!$E$96</f>
        <v>1.8~2.4</v>
      </c>
      <c r="H24" s="2202" t="str">
        <f>'XM.GUI MAIL'!$F$96</f>
        <v>(2.1±0.1)</v>
      </c>
      <c r="I24" s="1761">
        <f>'XM.FILE GOC'!AD54</f>
        <v>2.4</v>
      </c>
      <c r="J24" s="969"/>
      <c r="K24" s="973"/>
      <c r="L24" s="974"/>
      <c r="M24" s="915"/>
      <c r="N24" s="946"/>
      <c r="O24" s="1590"/>
      <c r="P24" s="916"/>
      <c r="Q24" s="1761">
        <f>'XM.FILE GOC'!AK54</f>
        <v>2.35</v>
      </c>
      <c r="R24" s="969"/>
      <c r="S24" s="973"/>
      <c r="T24" s="974"/>
      <c r="U24" s="915"/>
      <c r="V24" s="946"/>
      <c r="W24" s="1590"/>
      <c r="X24" s="916"/>
      <c r="Y24" s="1761">
        <f>'XM.FILE GOC'!AR54</f>
        <v>2.4</v>
      </c>
      <c r="Z24" s="969"/>
      <c r="AA24" s="973"/>
      <c r="AB24" s="974"/>
      <c r="AC24" s="915"/>
      <c r="AD24" s="946"/>
      <c r="AE24" s="1590"/>
      <c r="AF24" s="916"/>
      <c r="AG24" s="2242"/>
    </row>
    <row r="25" spans="1:35" ht="38.25" customHeight="1">
      <c r="A25" s="1568"/>
      <c r="B25" s="3933" t="s">
        <v>2</v>
      </c>
      <c r="C25" s="3933"/>
      <c r="D25" s="3933"/>
      <c r="E25" s="3933"/>
      <c r="F25" s="3933"/>
      <c r="G25" s="3933"/>
      <c r="H25" s="3933"/>
      <c r="I25" s="3933"/>
      <c r="J25" s="3933"/>
      <c r="K25" s="3933"/>
      <c r="L25" s="3933"/>
      <c r="M25" s="3933"/>
      <c r="N25" s="3933"/>
      <c r="O25" s="3933"/>
      <c r="P25" s="3933"/>
      <c r="Q25" s="3933"/>
      <c r="R25" s="3933"/>
      <c r="S25" s="3933"/>
      <c r="T25" s="3933"/>
      <c r="U25" s="3933"/>
      <c r="V25" s="3933"/>
      <c r="W25" s="3933"/>
      <c r="X25" s="3933"/>
      <c r="Y25" s="3933"/>
      <c r="Z25" s="3933"/>
      <c r="AA25" s="3933"/>
      <c r="AB25" s="3933"/>
      <c r="AC25" s="3933"/>
      <c r="AD25" s="3933"/>
      <c r="AE25" s="3933"/>
      <c r="AF25" s="3933"/>
      <c r="AG25" s="3933"/>
    </row>
    <row r="26" spans="1:35" ht="49.5" customHeight="1">
      <c r="A26" s="1568" t="s">
        <v>7</v>
      </c>
      <c r="B26" s="3310" t="s">
        <v>948</v>
      </c>
      <c r="C26" s="3311"/>
      <c r="D26" s="3311"/>
      <c r="E26" s="3312"/>
      <c r="F26" s="975" t="s">
        <v>949</v>
      </c>
      <c r="G26" s="975" t="s">
        <v>1296</v>
      </c>
      <c r="H26" s="2204" t="s">
        <v>1289</v>
      </c>
      <c r="I26" s="3227" t="s">
        <v>950</v>
      </c>
      <c r="J26" s="3228"/>
      <c r="K26" s="3229" t="s">
        <v>951</v>
      </c>
      <c r="L26" s="3228"/>
      <c r="M26" s="917"/>
      <c r="N26" s="918"/>
      <c r="O26" s="918"/>
      <c r="P26" s="919"/>
      <c r="Q26" s="3229" t="s">
        <v>950</v>
      </c>
      <c r="R26" s="3228"/>
      <c r="S26" s="3229" t="s">
        <v>951</v>
      </c>
      <c r="T26" s="3228"/>
      <c r="U26" s="917"/>
      <c r="V26" s="918"/>
      <c r="W26" s="918"/>
      <c r="X26" s="919"/>
      <c r="Y26" s="3229" t="s">
        <v>950</v>
      </c>
      <c r="Z26" s="3228"/>
      <c r="AA26" s="3229" t="s">
        <v>951</v>
      </c>
      <c r="AB26" s="3228"/>
      <c r="AC26" s="917"/>
      <c r="AD26" s="918"/>
      <c r="AE26" s="918"/>
      <c r="AF26" s="919"/>
      <c r="AG26" s="10"/>
    </row>
    <row r="27" spans="1:35" ht="49.5" customHeight="1">
      <c r="A27" s="1568">
        <v>1</v>
      </c>
      <c r="B27" s="3310" t="s">
        <v>952</v>
      </c>
      <c r="C27" s="3311"/>
      <c r="D27" s="3311"/>
      <c r="E27" s="3312"/>
      <c r="F27" s="976" t="s">
        <v>953</v>
      </c>
      <c r="G27" s="897" t="str">
        <f>'XM.FILE GOC'!$E$105</f>
        <v>50~70</v>
      </c>
      <c r="H27" s="2202" t="str">
        <f>'XM.FILE GOC'!$F$105</f>
        <v>(60±5)</v>
      </c>
      <c r="I27" s="3195">
        <f>'3.XT-C KH'!I29:J29</f>
        <v>58</v>
      </c>
      <c r="J27" s="3121"/>
      <c r="K27" s="3121">
        <f>'3.XT-C KH'!K29:L29</f>
        <v>58</v>
      </c>
      <c r="L27" s="3121"/>
      <c r="M27" s="920"/>
      <c r="N27" s="921"/>
      <c r="O27" s="921"/>
      <c r="P27" s="922"/>
      <c r="Q27" s="3121">
        <f>'3.XT-C KH'!Q29:R29</f>
        <v>58</v>
      </c>
      <c r="R27" s="3121"/>
      <c r="S27" s="3121">
        <f>'3.XT-C KH'!S29:T29</f>
        <v>58</v>
      </c>
      <c r="T27" s="3121"/>
      <c r="U27" s="920"/>
      <c r="V27" s="921"/>
      <c r="W27" s="921"/>
      <c r="X27" s="922"/>
      <c r="Y27" s="3121">
        <f>'3.XT-C KH'!Y29:Z29</f>
        <v>58</v>
      </c>
      <c r="Z27" s="3121"/>
      <c r="AA27" s="3121">
        <f>'3.XT-C KH'!AA29:AB29</f>
        <v>58</v>
      </c>
      <c r="AB27" s="3121"/>
      <c r="AC27" s="920"/>
      <c r="AD27" s="921"/>
      <c r="AE27" s="921"/>
      <c r="AF27" s="922"/>
      <c r="AG27" s="1569"/>
    </row>
    <row r="28" spans="1:35" ht="49.5" customHeight="1">
      <c r="A28" s="1568">
        <v>2</v>
      </c>
      <c r="B28" s="3310" t="s">
        <v>954</v>
      </c>
      <c r="C28" s="3311"/>
      <c r="D28" s="3311"/>
      <c r="E28" s="3312"/>
      <c r="F28" s="976" t="s">
        <v>953</v>
      </c>
      <c r="G28" s="897" t="str">
        <f>'XM.FILE GOC'!$E$106</f>
        <v>50~70</v>
      </c>
      <c r="H28" s="2202" t="str">
        <f>'XM.FILE GOC'!$F$106</f>
        <v>(60±5)</v>
      </c>
      <c r="I28" s="3195">
        <f>'3.XT-C KH'!I30:J30</f>
        <v>58</v>
      </c>
      <c r="J28" s="3121"/>
      <c r="K28" s="3121">
        <f>'3.XT-C KH'!K30:L30</f>
        <v>58</v>
      </c>
      <c r="L28" s="3121"/>
      <c r="M28" s="920"/>
      <c r="N28" s="921"/>
      <c r="O28" s="921"/>
      <c r="P28" s="922"/>
      <c r="Q28" s="3121">
        <f>'3.XT-C KH'!Q30:R30</f>
        <v>58</v>
      </c>
      <c r="R28" s="3121"/>
      <c r="S28" s="3121">
        <f>'3.XT-C KH'!S30:T30</f>
        <v>58</v>
      </c>
      <c r="T28" s="3121"/>
      <c r="U28" s="920"/>
      <c r="V28" s="921"/>
      <c r="W28" s="921"/>
      <c r="X28" s="922"/>
      <c r="Y28" s="3121">
        <f>'3.XT-C KH'!Y30:Z30</f>
        <v>59</v>
      </c>
      <c r="Z28" s="3121"/>
      <c r="AA28" s="3121">
        <f>'3.XT-C KH'!AA30:AB30</f>
        <v>58</v>
      </c>
      <c r="AB28" s="3121"/>
      <c r="AC28" s="920"/>
      <c r="AD28" s="921"/>
      <c r="AE28" s="921"/>
      <c r="AF28" s="922"/>
      <c r="AG28" s="1569"/>
    </row>
    <row r="29" spans="1:35" ht="49.5" customHeight="1">
      <c r="A29" s="1568">
        <v>3</v>
      </c>
      <c r="B29" s="3310" t="s">
        <v>955</v>
      </c>
      <c r="C29" s="3311"/>
      <c r="D29" s="3311"/>
      <c r="E29" s="3312"/>
      <c r="F29" s="976" t="s">
        <v>953</v>
      </c>
      <c r="G29" s="897" t="str">
        <f>'XM.FILE GOC'!$E$107</f>
        <v>50~70</v>
      </c>
      <c r="H29" s="2202" t="str">
        <f>'XM.FILE GOC'!$F$107</f>
        <v>(60±5)</v>
      </c>
      <c r="I29" s="3195">
        <f>'3.XT-C KH'!I31:J31</f>
        <v>59</v>
      </c>
      <c r="J29" s="3121"/>
      <c r="K29" s="3121">
        <f>'3.XT-C KH'!K31:L31</f>
        <v>58</v>
      </c>
      <c r="L29" s="3121"/>
      <c r="M29" s="920"/>
      <c r="N29" s="921"/>
      <c r="O29" s="921"/>
      <c r="P29" s="922"/>
      <c r="Q29" s="3121">
        <f>'3.XT-C KH'!Q31:R31</f>
        <v>58</v>
      </c>
      <c r="R29" s="3121"/>
      <c r="S29" s="3121">
        <f>'3.XT-C KH'!S31:T31</f>
        <v>59</v>
      </c>
      <c r="T29" s="3121"/>
      <c r="U29" s="920"/>
      <c r="V29" s="921"/>
      <c r="W29" s="921"/>
      <c r="X29" s="922"/>
      <c r="Y29" s="3121">
        <f>'3.XT-C KH'!Y31:Z31</f>
        <v>59</v>
      </c>
      <c r="Z29" s="3121"/>
      <c r="AA29" s="3121">
        <f>'3.XT-C KH'!AA31:AB31</f>
        <v>58</v>
      </c>
      <c r="AB29" s="3121"/>
      <c r="AC29" s="920"/>
      <c r="AD29" s="921"/>
      <c r="AE29" s="921"/>
      <c r="AF29" s="922"/>
      <c r="AG29" s="1569"/>
    </row>
    <row r="30" spans="1:35" ht="49.5" customHeight="1">
      <c r="A30" s="1568">
        <v>4</v>
      </c>
      <c r="B30" s="3310" t="s">
        <v>956</v>
      </c>
      <c r="C30" s="3311"/>
      <c r="D30" s="3311"/>
      <c r="E30" s="3312"/>
      <c r="F30" s="976" t="s">
        <v>953</v>
      </c>
      <c r="G30" s="897" t="str">
        <f>'XM.FILE GOC'!$E$108</f>
        <v>50~70</v>
      </c>
      <c r="H30" s="2202" t="str">
        <f>'XM.FILE GOC'!$F$108</f>
        <v>(60±5)</v>
      </c>
      <c r="I30" s="3195">
        <f>'3.XT-C KH'!I32:J32</f>
        <v>59</v>
      </c>
      <c r="J30" s="3121"/>
      <c r="K30" s="3121">
        <f>'3.XT-C KH'!K32:L32</f>
        <v>58</v>
      </c>
      <c r="L30" s="3121"/>
      <c r="M30" s="920"/>
      <c r="N30" s="921"/>
      <c r="O30" s="921"/>
      <c r="P30" s="922"/>
      <c r="Q30" s="3121">
        <f>'3.XT-C KH'!Q32:R32</f>
        <v>59</v>
      </c>
      <c r="R30" s="3121"/>
      <c r="S30" s="3121">
        <f>'3.XT-C KH'!S32:T32</f>
        <v>59</v>
      </c>
      <c r="T30" s="3121"/>
      <c r="U30" s="920"/>
      <c r="V30" s="921"/>
      <c r="W30" s="921"/>
      <c r="X30" s="922"/>
      <c r="Y30" s="3121">
        <f>'3.XT-C KH'!Y32:Z32</f>
        <v>58</v>
      </c>
      <c r="Z30" s="3121"/>
      <c r="AA30" s="3121">
        <f>'3.XT-C KH'!AA32:AB32</f>
        <v>58</v>
      </c>
      <c r="AB30" s="3121"/>
      <c r="AC30" s="920"/>
      <c r="AD30" s="921"/>
      <c r="AE30" s="921"/>
      <c r="AF30" s="922"/>
      <c r="AG30" s="1569"/>
    </row>
    <row r="31" spans="1:35" ht="49.5" customHeight="1">
      <c r="A31" s="1582">
        <v>5</v>
      </c>
      <c r="B31" s="3948" t="s">
        <v>957</v>
      </c>
      <c r="C31" s="3949"/>
      <c r="D31" s="3949"/>
      <c r="E31" s="3950"/>
      <c r="F31" s="1576" t="s">
        <v>953</v>
      </c>
      <c r="G31" s="1577" t="str">
        <f>'XM.FILE GOC'!$E$109</f>
        <v>22~28</v>
      </c>
      <c r="H31" s="2216" t="str">
        <f>'XM.FILE GOC'!$F$109</f>
        <v>(25±3)</v>
      </c>
      <c r="I31" s="3927">
        <f>'3.XT-C KH'!I33:J33</f>
        <v>25</v>
      </c>
      <c r="J31" s="3928"/>
      <c r="K31" s="3928">
        <f>'3.XT-C KH'!K33:L33</f>
        <v>24</v>
      </c>
      <c r="L31" s="3928"/>
      <c r="M31" s="920"/>
      <c r="N31" s="921"/>
      <c r="O31" s="921"/>
      <c r="P31" s="922"/>
      <c r="Q31" s="3928">
        <f>'3.XT-C KH'!Q33:R33</f>
        <v>26</v>
      </c>
      <c r="R31" s="3928"/>
      <c r="S31" s="3928">
        <f>'3.XT-C KH'!S33:T33</f>
        <v>25</v>
      </c>
      <c r="T31" s="3928"/>
      <c r="U31" s="920"/>
      <c r="V31" s="921"/>
      <c r="W31" s="921"/>
      <c r="X31" s="922"/>
      <c r="Y31" s="3928">
        <f>'3.XT-C KH'!Y33:Z33</f>
        <v>25</v>
      </c>
      <c r="Z31" s="3928"/>
      <c r="AA31" s="3928">
        <f>'3.XT-C KH'!AA33:AB33</f>
        <v>24</v>
      </c>
      <c r="AB31" s="3928"/>
      <c r="AC31" s="920"/>
      <c r="AD31" s="921"/>
      <c r="AE31" s="921"/>
      <c r="AF31" s="922"/>
      <c r="AG31" s="73"/>
    </row>
    <row r="32" spans="1:35" ht="49.5" customHeight="1">
      <c r="A32" s="1575">
        <v>6</v>
      </c>
      <c r="B32" s="3953" t="s">
        <v>958</v>
      </c>
      <c r="C32" s="3954"/>
      <c r="D32" s="3954"/>
      <c r="E32" s="3955"/>
      <c r="F32" s="2311" t="s">
        <v>953</v>
      </c>
      <c r="G32" s="2312" t="s">
        <v>1337</v>
      </c>
      <c r="H32" s="2313" t="s">
        <v>1434</v>
      </c>
      <c r="I32" s="3956"/>
      <c r="J32" s="3957"/>
      <c r="K32" s="3951"/>
      <c r="L32" s="3957"/>
      <c r="M32" s="2314"/>
      <c r="N32" s="2315"/>
      <c r="O32" s="2315"/>
      <c r="P32" s="2316"/>
      <c r="Q32" s="3951"/>
      <c r="R32" s="3957"/>
      <c r="S32" s="3951"/>
      <c r="T32" s="3957"/>
      <c r="U32" s="2314"/>
      <c r="V32" s="2315"/>
      <c r="W32" s="2315"/>
      <c r="X32" s="2316"/>
      <c r="Y32" s="3951"/>
      <c r="Z32" s="3957"/>
      <c r="AA32" s="3951"/>
      <c r="AB32" s="3952"/>
      <c r="AC32" s="921"/>
      <c r="AD32" s="921"/>
      <c r="AE32" s="921"/>
      <c r="AF32" s="922"/>
      <c r="AG32" s="1581"/>
      <c r="AI32" s="1571"/>
    </row>
    <row r="33" spans="1:55" ht="49.5" customHeight="1">
      <c r="A33" s="1583">
        <v>7</v>
      </c>
      <c r="B33" s="3320" t="s">
        <v>959</v>
      </c>
      <c r="C33" s="3321"/>
      <c r="D33" s="3321"/>
      <c r="E33" s="3322"/>
      <c r="F33" s="1578" t="s">
        <v>953</v>
      </c>
      <c r="G33" s="1579" t="str">
        <f>'XM.FILE GOC'!$E$111</f>
        <v>55~65</v>
      </c>
      <c r="H33" s="2218" t="str">
        <f>'XM.FILE GOC'!$F$111</f>
        <v>(60±5)</v>
      </c>
      <c r="I33" s="3323">
        <f>'3.XT-C KH'!I35</f>
        <v>62</v>
      </c>
      <c r="J33" s="3324"/>
      <c r="K33" s="3324">
        <f>'3.XT-C KH'!K35</f>
        <v>61</v>
      </c>
      <c r="L33" s="3324"/>
      <c r="M33" s="920"/>
      <c r="N33" s="921"/>
      <c r="O33" s="921"/>
      <c r="P33" s="922"/>
      <c r="Q33" s="3324">
        <f>'3.XT-C KH'!Q35</f>
        <v>61</v>
      </c>
      <c r="R33" s="3324"/>
      <c r="S33" s="3324">
        <f>'3.XT-C KH'!S35</f>
        <v>62</v>
      </c>
      <c r="T33" s="3324"/>
      <c r="U33" s="920"/>
      <c r="V33" s="921"/>
      <c r="W33" s="921"/>
      <c r="X33" s="922"/>
      <c r="Y33" s="3324">
        <f>'3.XT-C KH'!Y35</f>
        <v>58</v>
      </c>
      <c r="Z33" s="3324"/>
      <c r="AA33" s="3324">
        <f>'3.XT-C KH'!AA35</f>
        <v>57</v>
      </c>
      <c r="AB33" s="3324"/>
      <c r="AC33" s="920"/>
      <c r="AD33" s="921"/>
      <c r="AE33" s="921"/>
      <c r="AF33" s="922"/>
      <c r="AG33" s="1580"/>
    </row>
    <row r="34" spans="1:55" ht="49.5" customHeight="1">
      <c r="A34" s="1568">
        <v>8</v>
      </c>
      <c r="B34" s="3310" t="s">
        <v>960</v>
      </c>
      <c r="C34" s="3311"/>
      <c r="D34" s="3311"/>
      <c r="E34" s="3312"/>
      <c r="F34" s="976" t="s">
        <v>953</v>
      </c>
      <c r="G34" s="897" t="str">
        <f>'XM.FILE GOC'!$E$112</f>
        <v>80~100</v>
      </c>
      <c r="H34" s="2202" t="str">
        <f>'XM.FILE GOC'!$F$112</f>
        <v>(90±5)</v>
      </c>
      <c r="I34" s="3228" t="str">
        <f>'3.XT-C KH'!I36</f>
        <v>\</v>
      </c>
      <c r="J34" s="3284"/>
      <c r="K34" s="3121">
        <f>'3.XT-C KH'!K36</f>
        <v>93</v>
      </c>
      <c r="L34" s="3121"/>
      <c r="M34" s="920"/>
      <c r="N34" s="921"/>
      <c r="O34" s="921"/>
      <c r="P34" s="922"/>
      <c r="Q34" s="3284" t="str">
        <f>'3.XT-C KH'!Q36</f>
        <v>\</v>
      </c>
      <c r="R34" s="3284"/>
      <c r="S34" s="3121">
        <f>'3.XT-C KH'!S36</f>
        <v>92</v>
      </c>
      <c r="T34" s="3121"/>
      <c r="U34" s="920"/>
      <c r="V34" s="921"/>
      <c r="W34" s="921"/>
      <c r="X34" s="922"/>
      <c r="Y34" s="3284" t="str">
        <f>'3.XT-C KH'!Y36</f>
        <v>\</v>
      </c>
      <c r="Z34" s="3284"/>
      <c r="AA34" s="3121">
        <f>'3.XT-C KH'!AA36</f>
        <v>92</v>
      </c>
      <c r="AB34" s="3121"/>
      <c r="AC34" s="920"/>
      <c r="AD34" s="921"/>
      <c r="AE34" s="921"/>
      <c r="AF34" s="922"/>
      <c r="AG34" s="2055"/>
      <c r="AH34" s="61"/>
      <c r="AI34" s="61"/>
      <c r="AJ34" s="61"/>
      <c r="AK34" s="61"/>
      <c r="AL34" s="61"/>
      <c r="AM34" s="61"/>
      <c r="AN34" s="61"/>
      <c r="AO34" s="61"/>
      <c r="AP34" s="61"/>
      <c r="AQ34" s="61"/>
      <c r="AR34" s="61"/>
      <c r="AS34" s="61"/>
      <c r="AT34" s="61"/>
      <c r="AU34" s="61"/>
      <c r="AV34" s="61"/>
      <c r="AW34" s="61"/>
      <c r="AX34" s="61"/>
      <c r="AY34" s="61"/>
      <c r="AZ34" s="61"/>
      <c r="BA34" s="61"/>
      <c r="BB34" s="61"/>
      <c r="BC34" s="61"/>
    </row>
    <row r="35" spans="1:55" ht="49.5" customHeight="1">
      <c r="A35" s="1568">
        <v>9</v>
      </c>
      <c r="B35" s="3325" t="s">
        <v>1274</v>
      </c>
      <c r="C35" s="3326"/>
      <c r="D35" s="3326"/>
      <c r="E35" s="3327"/>
      <c r="F35" s="976" t="s">
        <v>953</v>
      </c>
      <c r="G35" s="897" t="str">
        <f>'XM.FILE GOC'!$E$113</f>
        <v>40~60</v>
      </c>
      <c r="H35" s="2202" t="str">
        <f>'XM.FILE GOC'!$F$113</f>
        <v>(50±10)</v>
      </c>
      <c r="I35" s="3276">
        <f>'3.XT-C KH'!I37</f>
        <v>56</v>
      </c>
      <c r="J35" s="3277"/>
      <c r="K35" s="3277">
        <f>'3.XT-C KH'!K37</f>
        <v>55</v>
      </c>
      <c r="L35" s="3277"/>
      <c r="M35" s="920"/>
      <c r="N35" s="921"/>
      <c r="O35" s="921"/>
      <c r="P35" s="922"/>
      <c r="Q35" s="3277">
        <f>'3.XT-C KH'!Q37</f>
        <v>56</v>
      </c>
      <c r="R35" s="3277"/>
      <c r="S35" s="3277">
        <f>'3.XT-C KH'!S37</f>
        <v>56</v>
      </c>
      <c r="T35" s="3277"/>
      <c r="U35" s="920"/>
      <c r="V35" s="921"/>
      <c r="W35" s="921"/>
      <c r="X35" s="922"/>
      <c r="Y35" s="3277">
        <f>'3.XT-C KH'!Y37</f>
        <v>56</v>
      </c>
      <c r="Z35" s="3277"/>
      <c r="AA35" s="3277">
        <f>'3.XT-C KH'!AA37</f>
        <v>55</v>
      </c>
      <c r="AB35" s="3277"/>
      <c r="AC35" s="920"/>
      <c r="AD35" s="921"/>
      <c r="AE35" s="921"/>
      <c r="AF35" s="922"/>
      <c r="AG35" s="2055"/>
      <c r="AH35" s="61"/>
      <c r="AI35" s="3932"/>
      <c r="AJ35" s="3932"/>
      <c r="AK35" s="3932"/>
      <c r="AL35" s="3932"/>
      <c r="AM35" s="921"/>
      <c r="AN35" s="921"/>
      <c r="AO35" s="921"/>
      <c r="AP35" s="921"/>
      <c r="AQ35" s="3932"/>
      <c r="AR35" s="3932"/>
      <c r="AS35" s="3932"/>
      <c r="AT35" s="3932"/>
      <c r="AU35" s="921"/>
      <c r="AV35" s="921"/>
      <c r="AW35" s="921"/>
      <c r="AX35" s="921"/>
      <c r="AY35" s="3932"/>
      <c r="AZ35" s="3932"/>
      <c r="BA35" s="3932"/>
      <c r="BB35" s="3932"/>
      <c r="BC35" s="61"/>
    </row>
    <row r="36" spans="1:55" ht="49.5" customHeight="1">
      <c r="A36" s="1568">
        <v>10</v>
      </c>
      <c r="B36" s="3325" t="s">
        <v>1277</v>
      </c>
      <c r="C36" s="3326"/>
      <c r="D36" s="3326"/>
      <c r="E36" s="3327"/>
      <c r="F36" s="976" t="s">
        <v>953</v>
      </c>
      <c r="G36" s="897" t="str">
        <f>'XM.FILE GOC'!$E$114</f>
        <v>50~70</v>
      </c>
      <c r="H36" s="2202" t="str">
        <f>'XM.FILE GOC'!$F$114</f>
        <v>(60±10)</v>
      </c>
      <c r="I36" s="3276">
        <f>'3.XT-C KH'!I38</f>
        <v>62</v>
      </c>
      <c r="J36" s="3277"/>
      <c r="K36" s="3277">
        <f>'3.XT-C KH'!K38</f>
        <v>63</v>
      </c>
      <c r="L36" s="3277"/>
      <c r="M36" s="920"/>
      <c r="N36" s="921"/>
      <c r="O36" s="921"/>
      <c r="P36" s="922"/>
      <c r="Q36" s="3277">
        <f>'3.XT-C KH'!Q38</f>
        <v>62</v>
      </c>
      <c r="R36" s="3277"/>
      <c r="S36" s="3277">
        <f>'3.XT-C KH'!S38</f>
        <v>62</v>
      </c>
      <c r="T36" s="3277"/>
      <c r="U36" s="920"/>
      <c r="V36" s="921"/>
      <c r="W36" s="921"/>
      <c r="X36" s="922"/>
      <c r="Y36" s="3277">
        <f>'3.XT-C KH'!Y38</f>
        <v>62</v>
      </c>
      <c r="Z36" s="3277"/>
      <c r="AA36" s="3277">
        <f>'3.XT-C KH'!AA38</f>
        <v>63</v>
      </c>
      <c r="AB36" s="3277"/>
      <c r="AC36" s="920"/>
      <c r="AD36" s="921"/>
      <c r="AE36" s="921"/>
      <c r="AF36" s="922"/>
      <c r="AG36" s="2055"/>
      <c r="AH36" s="61"/>
      <c r="AI36" s="3932"/>
      <c r="AJ36" s="3932"/>
      <c r="AK36" s="3932"/>
      <c r="AL36" s="3932"/>
      <c r="AM36" s="921"/>
      <c r="AN36" s="921"/>
      <c r="AO36" s="921"/>
      <c r="AP36" s="921"/>
      <c r="AQ36" s="3932"/>
      <c r="AR36" s="3932"/>
      <c r="AS36" s="3932"/>
      <c r="AT36" s="3932"/>
      <c r="AU36" s="921"/>
      <c r="AV36" s="921"/>
      <c r="AW36" s="921"/>
      <c r="AX36" s="921"/>
      <c r="AY36" s="3932"/>
      <c r="AZ36" s="3932"/>
      <c r="BA36" s="3932"/>
      <c r="BB36" s="3932"/>
      <c r="BC36" s="61"/>
    </row>
    <row r="37" spans="1:55" ht="49.5" hidden="1" customHeight="1">
      <c r="A37" s="2243"/>
      <c r="B37" s="2246"/>
      <c r="C37" s="2247"/>
      <c r="D37" s="2247"/>
      <c r="E37" s="2248"/>
      <c r="F37" s="976"/>
      <c r="G37" s="897"/>
      <c r="H37" s="2252"/>
      <c r="I37" s="2244"/>
      <c r="J37" s="2245"/>
      <c r="K37" s="2245"/>
      <c r="L37" s="2245"/>
      <c r="M37" s="920"/>
      <c r="N37" s="921"/>
      <c r="O37" s="921"/>
      <c r="P37" s="922"/>
      <c r="Q37" s="2245"/>
      <c r="R37" s="2245"/>
      <c r="S37" s="2245"/>
      <c r="T37" s="2245"/>
      <c r="U37" s="920"/>
      <c r="V37" s="921"/>
      <c r="W37" s="921"/>
      <c r="X37" s="922"/>
      <c r="Y37" s="2245"/>
      <c r="Z37" s="2245"/>
      <c r="AA37" s="2245"/>
      <c r="AB37" s="2245"/>
      <c r="AC37" s="920"/>
      <c r="AD37" s="921"/>
      <c r="AE37" s="921"/>
      <c r="AF37" s="922"/>
      <c r="AG37" s="2251"/>
      <c r="AH37" s="2393"/>
      <c r="AI37" s="2249"/>
      <c r="AJ37" s="2249"/>
      <c r="AK37" s="2249"/>
      <c r="AL37" s="2249"/>
      <c r="AM37" s="921"/>
      <c r="AN37" s="921"/>
      <c r="AO37" s="921"/>
      <c r="AP37" s="921"/>
      <c r="AQ37" s="2249"/>
      <c r="AR37" s="2249"/>
      <c r="AS37" s="2249"/>
      <c r="AT37" s="2249"/>
      <c r="AU37" s="921"/>
      <c r="AV37" s="921"/>
      <c r="AW37" s="921"/>
      <c r="AX37" s="921"/>
      <c r="AY37" s="2249"/>
      <c r="AZ37" s="2249"/>
      <c r="BA37" s="2249"/>
      <c r="BB37" s="2249"/>
      <c r="BC37" s="61"/>
    </row>
    <row r="38" spans="1:55" ht="45.75" customHeight="1">
      <c r="A38" s="1568"/>
      <c r="B38" s="3933" t="s">
        <v>1297</v>
      </c>
      <c r="C38" s="3933"/>
      <c r="D38" s="3933"/>
      <c r="E38" s="3933"/>
      <c r="F38" s="3933"/>
      <c r="G38" s="3933"/>
      <c r="H38" s="3933"/>
      <c r="I38" s="3933"/>
      <c r="J38" s="3933"/>
      <c r="K38" s="3933"/>
      <c r="L38" s="3933"/>
      <c r="M38" s="3933"/>
      <c r="N38" s="3933"/>
      <c r="O38" s="3933"/>
      <c r="P38" s="3933"/>
      <c r="Q38" s="3933"/>
      <c r="R38" s="3933"/>
      <c r="S38" s="3933"/>
      <c r="T38" s="3933"/>
      <c r="U38" s="3933"/>
      <c r="V38" s="3933"/>
      <c r="W38" s="3933"/>
      <c r="X38" s="3933"/>
      <c r="Y38" s="3933"/>
      <c r="Z38" s="3933"/>
      <c r="AA38" s="3933"/>
      <c r="AB38" s="3933"/>
      <c r="AC38" s="3933"/>
      <c r="AD38" s="3933"/>
      <c r="AE38" s="3933"/>
      <c r="AF38" s="3933"/>
      <c r="AG38" s="3958"/>
      <c r="AH38" s="61"/>
      <c r="AI38" s="61"/>
      <c r="AJ38" s="61"/>
      <c r="AK38" s="61"/>
      <c r="AL38" s="61"/>
      <c r="AM38" s="61"/>
      <c r="AN38" s="61"/>
      <c r="AO38" s="61"/>
      <c r="AP38" s="61"/>
      <c r="AQ38" s="61"/>
      <c r="AR38" s="61"/>
      <c r="AS38" s="61"/>
      <c r="AT38" s="61"/>
      <c r="AU38" s="61"/>
      <c r="AV38" s="61"/>
      <c r="AW38" s="61"/>
      <c r="AX38" s="61"/>
      <c r="AY38" s="61"/>
      <c r="AZ38" s="61"/>
      <c r="BA38" s="61"/>
      <c r="BB38" s="61"/>
      <c r="BC38" s="61"/>
    </row>
    <row r="39" spans="1:55" ht="49.5" customHeight="1">
      <c r="A39" s="1568" t="s">
        <v>7</v>
      </c>
      <c r="B39" s="3310" t="s">
        <v>961</v>
      </c>
      <c r="C39" s="3311"/>
      <c r="D39" s="3311"/>
      <c r="E39" s="3312"/>
      <c r="F39" s="975" t="s">
        <v>734</v>
      </c>
      <c r="G39" s="975" t="s">
        <v>1296</v>
      </c>
      <c r="H39" s="2204" t="s">
        <v>1289</v>
      </c>
      <c r="I39" s="3229" t="s">
        <v>962</v>
      </c>
      <c r="J39" s="3227"/>
      <c r="K39" s="3227"/>
      <c r="L39" s="3228"/>
      <c r="M39" s="1296"/>
      <c r="N39" s="1297"/>
      <c r="O39" s="1297"/>
      <c r="P39" s="1298"/>
      <c r="Q39" s="3229" t="s">
        <v>962</v>
      </c>
      <c r="R39" s="3227"/>
      <c r="S39" s="3227"/>
      <c r="T39" s="3228"/>
      <c r="U39" s="1296"/>
      <c r="V39" s="1297"/>
      <c r="W39" s="1297"/>
      <c r="X39" s="1298"/>
      <c r="Y39" s="3229" t="s">
        <v>962</v>
      </c>
      <c r="Z39" s="3227"/>
      <c r="AA39" s="3227"/>
      <c r="AB39" s="3228"/>
      <c r="AC39" s="917"/>
      <c r="AD39" s="918"/>
      <c r="AE39" s="918"/>
      <c r="AF39" s="919"/>
      <c r="AG39" s="10"/>
    </row>
    <row r="40" spans="1:55" ht="45.75" customHeight="1">
      <c r="A40" s="1568">
        <v>1</v>
      </c>
      <c r="B40" s="3264" t="s">
        <v>1571</v>
      </c>
      <c r="C40" s="3265"/>
      <c r="D40" s="3265"/>
      <c r="E40" s="3266"/>
      <c r="F40" s="632" t="s">
        <v>47</v>
      </c>
      <c r="G40" s="897" t="str">
        <f>'XM.FILE GOC'!$E$120</f>
        <v>30~50 
(40)</v>
      </c>
      <c r="H40" s="2202" t="str">
        <f>'XM.FILE GOC'!$F$120</f>
        <v>30~50 
(40)</v>
      </c>
      <c r="I40" s="3098">
        <f>'3.XT-C KH'!I43:L43</f>
        <v>42</v>
      </c>
      <c r="J40" s="3099"/>
      <c r="K40" s="3099"/>
      <c r="L40" s="3099"/>
      <c r="M40" s="1302"/>
      <c r="N40" s="1303"/>
      <c r="O40" s="1303"/>
      <c r="P40" s="1304"/>
      <c r="Q40" s="3098">
        <f>'3.XT-C KH'!Q43:T43</f>
        <v>40</v>
      </c>
      <c r="R40" s="3099"/>
      <c r="S40" s="3099"/>
      <c r="T40" s="3099"/>
      <c r="U40" s="1302"/>
      <c r="V40" s="1303"/>
      <c r="W40" s="1303"/>
      <c r="X40" s="1304"/>
      <c r="Y40" s="3098">
        <f>'3.XT-C KH'!Y43:AB43</f>
        <v>42</v>
      </c>
      <c r="Z40" s="3099"/>
      <c r="AA40" s="3099"/>
      <c r="AB40" s="3100"/>
      <c r="AC40" s="926"/>
      <c r="AD40" s="904"/>
      <c r="AE40" s="904"/>
      <c r="AF40" s="927"/>
      <c r="AG40" s="1569"/>
    </row>
    <row r="41" spans="1:55" ht="45.75" customHeight="1">
      <c r="A41" s="1568">
        <v>2</v>
      </c>
      <c r="B41" s="3264" t="s">
        <v>1570</v>
      </c>
      <c r="C41" s="3265"/>
      <c r="D41" s="3265"/>
      <c r="E41" s="3266"/>
      <c r="F41" s="632" t="s">
        <v>47</v>
      </c>
      <c r="G41" s="897" t="str">
        <f>'XM.FILE GOC'!$E$121</f>
        <v>160~220
(180)</v>
      </c>
      <c r="H41" s="2202" t="str">
        <f>'XM.FILE GOC'!$F$121</f>
        <v>160~220
(180)</v>
      </c>
      <c r="I41" s="3098">
        <f>'3.XT-C KH'!I44:L44</f>
        <v>195</v>
      </c>
      <c r="J41" s="3099"/>
      <c r="K41" s="3099"/>
      <c r="L41" s="3099"/>
      <c r="M41" s="1299"/>
      <c r="N41" s="1300"/>
      <c r="O41" s="1300"/>
      <c r="P41" s="1301"/>
      <c r="Q41" s="3098">
        <f>'3.XT-C KH'!Q44:T44</f>
        <v>197</v>
      </c>
      <c r="R41" s="3099"/>
      <c r="S41" s="3099"/>
      <c r="T41" s="3099"/>
      <c r="U41" s="1299"/>
      <c r="V41" s="1300"/>
      <c r="W41" s="1300"/>
      <c r="X41" s="1301"/>
      <c r="Y41" s="3098">
        <f>'3.XT-C KH'!Y44:AB44</f>
        <v>200</v>
      </c>
      <c r="Z41" s="3099"/>
      <c r="AA41" s="3099"/>
      <c r="AB41" s="3100"/>
      <c r="AC41" s="928"/>
      <c r="AD41" s="929"/>
      <c r="AE41" s="929"/>
      <c r="AF41" s="930"/>
      <c r="AG41" s="1569"/>
    </row>
    <row r="42" spans="1:55" ht="12.75" customHeight="1">
      <c r="A42" s="977"/>
      <c r="B42" s="898"/>
      <c r="C42" s="898"/>
      <c r="D42" s="898"/>
      <c r="E42" s="898"/>
      <c r="F42" s="978"/>
      <c r="G42" s="978"/>
      <c r="H42" s="978"/>
      <c r="I42" s="978"/>
      <c r="J42" s="978"/>
      <c r="K42" s="978"/>
      <c r="L42" s="978"/>
      <c r="M42" s="943"/>
      <c r="N42" s="943"/>
      <c r="O42" s="943"/>
      <c r="P42" s="943"/>
      <c r="Q42" s="978"/>
      <c r="R42" s="978"/>
      <c r="S42" s="978"/>
      <c r="T42" s="978"/>
      <c r="U42" s="943"/>
      <c r="V42" s="943"/>
      <c r="W42" s="943"/>
      <c r="X42" s="943"/>
      <c r="Y42" s="978"/>
      <c r="Z42" s="978"/>
      <c r="AA42" s="978"/>
      <c r="AB42" s="978"/>
      <c r="AC42" s="943"/>
      <c r="AD42" s="943"/>
      <c r="AE42" s="943"/>
      <c r="AF42" s="943"/>
      <c r="AG42" s="61"/>
    </row>
    <row r="43" spans="1:55" ht="42" customHeight="1">
      <c r="A43" s="3446" t="s">
        <v>134</v>
      </c>
      <c r="B43" s="3446"/>
      <c r="C43" s="3446"/>
      <c r="D43" s="3446"/>
      <c r="E43" s="3446"/>
      <c r="F43" s="3446"/>
      <c r="G43" s="3446"/>
      <c r="H43" s="3446"/>
      <c r="I43" s="3446"/>
      <c r="J43" s="3446"/>
      <c r="K43" s="3446"/>
      <c r="L43" s="3446"/>
      <c r="M43" s="3446"/>
      <c r="N43" s="3446"/>
      <c r="O43" s="3446"/>
      <c r="P43" s="3446"/>
      <c r="Q43" s="3446"/>
      <c r="R43" s="3446"/>
      <c r="S43" s="3446"/>
      <c r="T43" s="3446"/>
      <c r="U43" s="3446"/>
      <c r="V43" s="3446"/>
      <c r="W43" s="3446"/>
      <c r="X43" s="3446"/>
      <c r="Y43" s="3446"/>
      <c r="Z43" s="3446"/>
      <c r="AA43" s="982"/>
      <c r="AB43" s="982"/>
      <c r="AC43" s="945"/>
      <c r="AD43" s="945"/>
      <c r="AE43" s="945"/>
      <c r="AF43" s="945"/>
      <c r="AG43" s="60"/>
    </row>
    <row r="44" spans="1:55" ht="51" customHeight="1">
      <c r="A44" s="3447" t="s">
        <v>135</v>
      </c>
      <c r="B44" s="3447"/>
      <c r="C44" s="3447"/>
      <c r="D44" s="3447"/>
      <c r="E44" s="3447"/>
      <c r="F44" s="3447"/>
      <c r="G44" s="3447"/>
      <c r="H44" s="3447"/>
      <c r="I44" s="3447"/>
      <c r="J44" s="3447"/>
      <c r="K44" s="3447"/>
      <c r="L44" s="3447"/>
      <c r="M44" s="3447"/>
      <c r="N44" s="3447"/>
      <c r="O44" s="3447"/>
      <c r="P44" s="3447"/>
      <c r="Q44" s="3447"/>
      <c r="R44" s="3447"/>
      <c r="S44" s="3447"/>
      <c r="T44" s="3447"/>
      <c r="U44" s="3447"/>
      <c r="V44" s="3447"/>
      <c r="W44" s="3447"/>
      <c r="X44" s="3447"/>
      <c r="Y44" s="3447"/>
      <c r="Z44" s="3447"/>
      <c r="AA44" s="3959"/>
      <c r="AB44" s="3959"/>
      <c r="AC44" s="939"/>
      <c r="AD44" s="3128" t="s">
        <v>87</v>
      </c>
      <c r="AE44" s="3128"/>
      <c r="AF44" s="3130" t="s">
        <v>88</v>
      </c>
      <c r="AG44" s="3131"/>
    </row>
    <row r="45" spans="1:55" ht="40.5" customHeight="1">
      <c r="A45" s="966"/>
      <c r="B45" s="1418" t="s">
        <v>126</v>
      </c>
      <c r="C45" s="1419"/>
      <c r="D45" s="1389"/>
      <c r="E45" s="1390"/>
      <c r="F45" s="1391"/>
      <c r="G45" s="1387"/>
      <c r="H45" s="1812" t="str">
        <f>MENU!$AC$9</f>
        <v>Thứ 5,</v>
      </c>
      <c r="I45" s="3196" t="str">
        <f>MENU!$AD$9</f>
        <v>2024/08/01</v>
      </c>
      <c r="J45" s="3197"/>
      <c r="K45" s="3197"/>
      <c r="L45" s="3197"/>
      <c r="M45" s="942"/>
      <c r="N45" s="942"/>
      <c r="O45" s="942"/>
      <c r="P45" s="942"/>
      <c r="Q45" s="968"/>
      <c r="R45" s="968"/>
      <c r="S45" s="968"/>
      <c r="T45" s="968"/>
      <c r="U45" s="942"/>
      <c r="V45" s="942"/>
      <c r="W45" s="942"/>
      <c r="X45" s="942"/>
      <c r="Y45" s="968"/>
      <c r="Z45" s="968"/>
      <c r="AA45" s="3208"/>
      <c r="AB45" s="3208"/>
      <c r="AC45" s="940"/>
      <c r="AD45" s="3129" t="str">
        <f>MENU!AE7</f>
        <v>Trang</v>
      </c>
      <c r="AE45" s="3129"/>
      <c r="AF45" s="3204" t="s">
        <v>11</v>
      </c>
      <c r="AG45" s="3133"/>
    </row>
    <row r="46" spans="1:55" s="61" customFormat="1" ht="36.75" customHeight="1">
      <c r="A46" s="3273" t="s">
        <v>7</v>
      </c>
      <c r="B46" s="3151" t="s">
        <v>75</v>
      </c>
      <c r="C46" s="3152"/>
      <c r="D46" s="3152"/>
      <c r="E46" s="3153"/>
      <c r="F46" s="3149" t="s">
        <v>123</v>
      </c>
      <c r="G46" s="3180" t="s">
        <v>1296</v>
      </c>
      <c r="H46" s="3185" t="s">
        <v>1289</v>
      </c>
      <c r="I46" s="3209">
        <v>0.80208333333333337</v>
      </c>
      <c r="J46" s="3168"/>
      <c r="K46" s="3168"/>
      <c r="L46" s="3169"/>
      <c r="M46" s="3123" t="s">
        <v>929</v>
      </c>
      <c r="N46" s="3124"/>
      <c r="O46" s="3124"/>
      <c r="P46" s="3125"/>
      <c r="Q46" s="3167">
        <v>0.96875</v>
      </c>
      <c r="R46" s="3168"/>
      <c r="S46" s="3168"/>
      <c r="T46" s="3169"/>
      <c r="U46" s="3123" t="s">
        <v>929</v>
      </c>
      <c r="V46" s="3124"/>
      <c r="W46" s="3124"/>
      <c r="X46" s="3125"/>
      <c r="Y46" s="3210">
        <v>0.13541666666666666</v>
      </c>
      <c r="Z46" s="3149"/>
      <c r="AA46" s="3149"/>
      <c r="AB46" s="3149"/>
      <c r="AC46" s="3123" t="s">
        <v>929</v>
      </c>
      <c r="AD46" s="3124"/>
      <c r="AE46" s="3124"/>
      <c r="AF46" s="3125"/>
      <c r="AG46" s="3216" t="s">
        <v>38</v>
      </c>
    </row>
    <row r="47" spans="1:55" s="61" customFormat="1" ht="48.75" customHeight="1">
      <c r="A47" s="3273"/>
      <c r="B47" s="3154"/>
      <c r="C47" s="3155"/>
      <c r="D47" s="3155"/>
      <c r="E47" s="3156"/>
      <c r="F47" s="3150"/>
      <c r="G47" s="3181"/>
      <c r="H47" s="3186"/>
      <c r="I47" s="2189" t="s">
        <v>128</v>
      </c>
      <c r="J47" s="3173" t="s">
        <v>1</v>
      </c>
      <c r="K47" s="3174"/>
      <c r="L47" s="3175"/>
      <c r="M47" s="906" t="s">
        <v>128</v>
      </c>
      <c r="N47" s="3126" t="s">
        <v>1</v>
      </c>
      <c r="O47" s="3126"/>
      <c r="P47" s="3127"/>
      <c r="Q47" s="948" t="s">
        <v>128</v>
      </c>
      <c r="R47" s="3173" t="s">
        <v>1</v>
      </c>
      <c r="S47" s="3174"/>
      <c r="T47" s="3175"/>
      <c r="U47" s="906" t="s">
        <v>128</v>
      </c>
      <c r="V47" s="3126" t="s">
        <v>1</v>
      </c>
      <c r="W47" s="3126"/>
      <c r="X47" s="3127"/>
      <c r="Y47" s="948" t="s">
        <v>128</v>
      </c>
      <c r="Z47" s="3173" t="s">
        <v>1</v>
      </c>
      <c r="AA47" s="3174"/>
      <c r="AB47" s="3175"/>
      <c r="AC47" s="906" t="s">
        <v>128</v>
      </c>
      <c r="AD47" s="3126" t="s">
        <v>1</v>
      </c>
      <c r="AE47" s="3126"/>
      <c r="AF47" s="3127"/>
      <c r="AG47" s="3217"/>
    </row>
    <row r="48" spans="1:55" ht="46.5" customHeight="1">
      <c r="A48" s="3249">
        <v>1</v>
      </c>
      <c r="B48" s="3251" t="s">
        <v>940</v>
      </c>
      <c r="C48" s="3252"/>
      <c r="D48" s="3164" t="s">
        <v>229</v>
      </c>
      <c r="E48" s="3165"/>
      <c r="F48" s="1570" t="s">
        <v>4</v>
      </c>
      <c r="G48" s="897" t="str">
        <f>'XM.FILE GOC'!$E$78</f>
        <v>40~60</v>
      </c>
      <c r="H48" s="2202" t="str">
        <f>'XM.FILE GOC'!$F$78</f>
        <v>(50±5)</v>
      </c>
      <c r="I48" s="2205">
        <f>'XM.FILE GOC'!AD78</f>
        <v>0</v>
      </c>
      <c r="J48" s="969" t="s">
        <v>8</v>
      </c>
      <c r="K48" s="970">
        <f>'XM.FILE GOC'!AG78</f>
        <v>775.85</v>
      </c>
      <c r="L48" s="971" t="s">
        <v>9</v>
      </c>
      <c r="M48" s="1573">
        <f>'3.XT-C KH'!M51</f>
        <v>0</v>
      </c>
      <c r="N48" s="908" t="s">
        <v>8</v>
      </c>
      <c r="O48" s="1588" t="str">
        <f>IF(M48=0,"",('XM.FILE GOC'!$G$78-M48)*15517/1000)</f>
        <v/>
      </c>
      <c r="P48" s="909" t="s">
        <v>9</v>
      </c>
      <c r="Q48" s="2205">
        <f>'XM.FILE GOC'!AK78</f>
        <v>0</v>
      </c>
      <c r="R48" s="969" t="s">
        <v>8</v>
      </c>
      <c r="S48" s="970">
        <f>'XM.FILE GOC'!AN78</f>
        <v>775.85</v>
      </c>
      <c r="T48" s="971" t="s">
        <v>9</v>
      </c>
      <c r="U48" s="1573">
        <f>'3.XT-C KH'!U51</f>
        <v>0</v>
      </c>
      <c r="V48" s="908" t="s">
        <v>8</v>
      </c>
      <c r="W48" s="1588" t="str">
        <f>IF(U48=0,"",('XM.FILE GOC'!$G$78-U48)*15517/1000)</f>
        <v/>
      </c>
      <c r="X48" s="909" t="s">
        <v>9</v>
      </c>
      <c r="Y48" s="2205">
        <f>'XM.FILE GOC'!AR78</f>
        <v>0</v>
      </c>
      <c r="Z48" s="969" t="s">
        <v>8</v>
      </c>
      <c r="AA48" s="970">
        <f>'XM.FILE GOC'!AU78</f>
        <v>775.85</v>
      </c>
      <c r="AB48" s="971" t="s">
        <v>9</v>
      </c>
      <c r="AC48" s="1573">
        <f>'3.XT-C KH'!AC51</f>
        <v>0</v>
      </c>
      <c r="AD48" s="908" t="s">
        <v>8</v>
      </c>
      <c r="AE48" s="1588" t="str">
        <f>IF(AC48=0,"",('XM.FILE GOC'!$G$78-AC48)*15517/1000)</f>
        <v/>
      </c>
      <c r="AF48" s="909" t="s">
        <v>9</v>
      </c>
      <c r="AG48" s="1567" t="s">
        <v>39</v>
      </c>
    </row>
    <row r="49" spans="1:38" ht="46.5" customHeight="1">
      <c r="A49" s="3250"/>
      <c r="B49" s="3253"/>
      <c r="C49" s="3254"/>
      <c r="D49" s="3164" t="s">
        <v>230</v>
      </c>
      <c r="E49" s="3165"/>
      <c r="F49" s="896"/>
      <c r="G49" s="897" t="s">
        <v>1260</v>
      </c>
      <c r="H49" s="2202"/>
      <c r="I49" s="2191"/>
      <c r="J49" s="58"/>
      <c r="K49" s="952">
        <f>K48/25*8.5</f>
        <v>263.78900000000004</v>
      </c>
      <c r="L49" s="587" t="s">
        <v>10</v>
      </c>
      <c r="M49" s="1573">
        <f>'3.XT-C KH'!M52</f>
        <v>0</v>
      </c>
      <c r="N49" s="910" t="s">
        <v>8</v>
      </c>
      <c r="O49" s="1586" t="str">
        <f>IF(M48=0,"",O48/25*8.5)</f>
        <v/>
      </c>
      <c r="P49" s="911" t="s">
        <v>10</v>
      </c>
      <c r="Q49" s="2191"/>
      <c r="R49" s="58"/>
      <c r="S49" s="952">
        <f>S48/25*8.5</f>
        <v>263.78900000000004</v>
      </c>
      <c r="T49" s="587" t="s">
        <v>10</v>
      </c>
      <c r="U49" s="1573">
        <f>'3.XT-C KH'!U52</f>
        <v>0</v>
      </c>
      <c r="V49" s="910" t="s">
        <v>8</v>
      </c>
      <c r="W49" s="1586" t="str">
        <f>IF(U48=0,"",W48/25*8.5)</f>
        <v/>
      </c>
      <c r="X49" s="911" t="s">
        <v>10</v>
      </c>
      <c r="Y49" s="2191"/>
      <c r="Z49" s="58"/>
      <c r="AA49" s="952">
        <f>AA48/25*8.5</f>
        <v>263.78900000000004</v>
      </c>
      <c r="AB49" s="587" t="s">
        <v>10</v>
      </c>
      <c r="AC49" s="1573">
        <f>'3.XT-C KH'!AC52</f>
        <v>0</v>
      </c>
      <c r="AD49" s="910" t="s">
        <v>8</v>
      </c>
      <c r="AE49" s="1586" t="str">
        <f>IF(AC48=0,"",AE48/25*8.5)</f>
        <v/>
      </c>
      <c r="AF49" s="911" t="s">
        <v>10</v>
      </c>
      <c r="AG49" s="1567"/>
    </row>
    <row r="50" spans="1:38" ht="46.5" customHeight="1">
      <c r="A50" s="3249">
        <v>2</v>
      </c>
      <c r="B50" s="3251" t="s">
        <v>941</v>
      </c>
      <c r="C50" s="3252"/>
      <c r="D50" s="3164" t="s">
        <v>229</v>
      </c>
      <c r="E50" s="3165"/>
      <c r="F50" s="1570" t="s">
        <v>4</v>
      </c>
      <c r="G50" s="897" t="str">
        <f>'XM.FILE GOC'!$E$80</f>
        <v>40~60</v>
      </c>
      <c r="H50" s="2202" t="str">
        <f>'XM.FILE GOC'!$F$80</f>
        <v>(50±5)</v>
      </c>
      <c r="I50" s="2205">
        <f>'XM.FILE GOC'!AD80</f>
        <v>0</v>
      </c>
      <c r="J50" s="969" t="s">
        <v>8</v>
      </c>
      <c r="K50" s="970">
        <f>'XM.FILE GOC'!AG80</f>
        <v>573.75</v>
      </c>
      <c r="L50" s="971" t="s">
        <v>9</v>
      </c>
      <c r="M50" s="1573">
        <f>'3.XT-C KH'!M53</f>
        <v>0</v>
      </c>
      <c r="N50" s="908" t="s">
        <v>8</v>
      </c>
      <c r="O50" s="1588" t="str">
        <f>IF(M50=0,"",('XM.FILE GOC'!$G$80-M50)*11475/1000)</f>
        <v/>
      </c>
      <c r="P50" s="909" t="s">
        <v>9</v>
      </c>
      <c r="Q50" s="2205">
        <f>'XM.FILE GOC'!AK80</f>
        <v>0</v>
      </c>
      <c r="R50" s="969" t="s">
        <v>8</v>
      </c>
      <c r="S50" s="970">
        <f>'XM.FILE GOC'!AN80</f>
        <v>573.75</v>
      </c>
      <c r="T50" s="971" t="s">
        <v>9</v>
      </c>
      <c r="U50" s="1573">
        <f>'3.XT-C KH'!U53</f>
        <v>0</v>
      </c>
      <c r="V50" s="908" t="s">
        <v>8</v>
      </c>
      <c r="W50" s="1588" t="str">
        <f>IF(U50=0,"",('XM.FILE GOC'!$G$80-U50)*11475/1000)</f>
        <v/>
      </c>
      <c r="X50" s="909" t="s">
        <v>9</v>
      </c>
      <c r="Y50" s="2205">
        <f>'XM.FILE GOC'!AR80</f>
        <v>0</v>
      </c>
      <c r="Z50" s="969" t="s">
        <v>8</v>
      </c>
      <c r="AA50" s="970">
        <f>'XM.FILE GOC'!AU80</f>
        <v>573.75</v>
      </c>
      <c r="AB50" s="971" t="s">
        <v>9</v>
      </c>
      <c r="AC50" s="1573">
        <f>'3.XT-C KH'!AC53</f>
        <v>0</v>
      </c>
      <c r="AD50" s="908" t="s">
        <v>8</v>
      </c>
      <c r="AE50" s="1588" t="str">
        <f>IF(AC50=0,"",('XM.FILE GOC'!$G$80-AC50)*11475/1000)</f>
        <v/>
      </c>
      <c r="AF50" s="909" t="s">
        <v>9</v>
      </c>
      <c r="AG50" s="1567" t="s">
        <v>39</v>
      </c>
    </row>
    <row r="51" spans="1:38" ht="46.5" customHeight="1">
      <c r="A51" s="3250"/>
      <c r="B51" s="3253"/>
      <c r="C51" s="3254"/>
      <c r="D51" s="3164" t="s">
        <v>230</v>
      </c>
      <c r="E51" s="3165"/>
      <c r="F51" s="896"/>
      <c r="G51" s="897" t="s">
        <v>1260</v>
      </c>
      <c r="H51" s="2202"/>
      <c r="I51" s="2191"/>
      <c r="J51" s="58"/>
      <c r="K51" s="952">
        <f>K50/25*8.5</f>
        <v>195.07499999999999</v>
      </c>
      <c r="L51" s="587" t="s">
        <v>10</v>
      </c>
      <c r="M51" s="1573">
        <f>'3.XT-C KH'!M54</f>
        <v>0</v>
      </c>
      <c r="N51" s="910" t="s">
        <v>8</v>
      </c>
      <c r="O51" s="1586" t="str">
        <f>IF(M50=0,"",O50/25*8.5)</f>
        <v/>
      </c>
      <c r="P51" s="911" t="s">
        <v>10</v>
      </c>
      <c r="Q51" s="2191"/>
      <c r="R51" s="58"/>
      <c r="S51" s="952">
        <f>S50/25*8.5</f>
        <v>195.07499999999999</v>
      </c>
      <c r="T51" s="587" t="s">
        <v>10</v>
      </c>
      <c r="U51" s="1573">
        <f>'3.XT-C KH'!U54</f>
        <v>0</v>
      </c>
      <c r="V51" s="910" t="s">
        <v>8</v>
      </c>
      <c r="W51" s="1586" t="str">
        <f>IF(U50=0,"",W50/25*8.5)</f>
        <v/>
      </c>
      <c r="X51" s="911" t="s">
        <v>10</v>
      </c>
      <c r="Y51" s="2191"/>
      <c r="Z51" s="58"/>
      <c r="AA51" s="952">
        <f>AA50/25*8.5</f>
        <v>195.07499999999999</v>
      </c>
      <c r="AB51" s="587" t="s">
        <v>10</v>
      </c>
      <c r="AC51" s="1573">
        <f>'3.XT-C KH'!AC54</f>
        <v>0</v>
      </c>
      <c r="AD51" s="910" t="s">
        <v>8</v>
      </c>
      <c r="AE51" s="1586" t="str">
        <f>IF(AC50=0,"",AE50/25*8.5)</f>
        <v/>
      </c>
      <c r="AF51" s="911" t="s">
        <v>10</v>
      </c>
      <c r="AG51" s="1567"/>
    </row>
    <row r="52" spans="1:38" ht="46.5" customHeight="1">
      <c r="A52" s="3249">
        <v>3</v>
      </c>
      <c r="B52" s="3162" t="s">
        <v>942</v>
      </c>
      <c r="C52" s="3163"/>
      <c r="D52" s="3134" t="s">
        <v>231</v>
      </c>
      <c r="E52" s="3136" t="s">
        <v>231</v>
      </c>
      <c r="F52" s="1570" t="s">
        <v>4</v>
      </c>
      <c r="G52" s="897" t="str">
        <f>'XM.FILE GOC'!$E$82</f>
        <v>50~70</v>
      </c>
      <c r="H52" s="2202" t="str">
        <f>'XM.FILE GOC'!$F$82</f>
        <v>(60±5)</v>
      </c>
      <c r="I52" s="2205">
        <f>'XM.FILE GOC'!AD82</f>
        <v>0</v>
      </c>
      <c r="J52" s="58" t="s">
        <v>8</v>
      </c>
      <c r="K52" s="586">
        <f>'XM.FILE GOC'!AG82</f>
        <v>492</v>
      </c>
      <c r="L52" s="587" t="s">
        <v>9</v>
      </c>
      <c r="M52" s="1573">
        <f>'3.XT-C KH'!M55</f>
        <v>0</v>
      </c>
      <c r="N52" s="908" t="s">
        <v>8</v>
      </c>
      <c r="O52" s="1588" t="str">
        <f>IF(M52=0,"",('XM.FILE GOC'!$G$82-M52)*8200/1000)</f>
        <v/>
      </c>
      <c r="P52" s="909" t="s">
        <v>9</v>
      </c>
      <c r="Q52" s="2205">
        <f>'XM.FILE GOC'!AK82</f>
        <v>0</v>
      </c>
      <c r="R52" s="58" t="s">
        <v>8</v>
      </c>
      <c r="S52" s="586">
        <f>'XM.FILE GOC'!AN82</f>
        <v>492</v>
      </c>
      <c r="T52" s="587" t="s">
        <v>9</v>
      </c>
      <c r="U52" s="1573">
        <f>'3.XT-C KH'!U55</f>
        <v>0</v>
      </c>
      <c r="V52" s="908" t="s">
        <v>8</v>
      </c>
      <c r="W52" s="1588" t="str">
        <f>IF(U52=0,"",('XM.FILE GOC'!$G$82-U52)*8200/1000)</f>
        <v/>
      </c>
      <c r="X52" s="909" t="s">
        <v>9</v>
      </c>
      <c r="Y52" s="2205">
        <f>'XM.FILE GOC'!AR82</f>
        <v>0</v>
      </c>
      <c r="Z52" s="58" t="s">
        <v>8</v>
      </c>
      <c r="AA52" s="586">
        <f>'XM.FILE GOC'!AU82</f>
        <v>492</v>
      </c>
      <c r="AB52" s="971" t="s">
        <v>9</v>
      </c>
      <c r="AC52" s="1573">
        <f>'3.XT-C KH'!AC55</f>
        <v>0</v>
      </c>
      <c r="AD52" s="908" t="s">
        <v>8</v>
      </c>
      <c r="AE52" s="1588" t="str">
        <f>IF(AC52=0,"",('XM.FILE GOC'!$G$82-AC52)*8200/1000)</f>
        <v/>
      </c>
      <c r="AF52" s="909" t="s">
        <v>9</v>
      </c>
      <c r="AG52" s="1567" t="s">
        <v>39</v>
      </c>
    </row>
    <row r="53" spans="1:38" ht="46.5" customHeight="1">
      <c r="A53" s="3255"/>
      <c r="B53" s="3163"/>
      <c r="C53" s="3163"/>
      <c r="D53" s="3134" t="s">
        <v>232</v>
      </c>
      <c r="E53" s="3136" t="s">
        <v>232</v>
      </c>
      <c r="F53" s="896"/>
      <c r="G53" s="897" t="s">
        <v>1261</v>
      </c>
      <c r="H53" s="2202"/>
      <c r="I53" s="2191"/>
      <c r="J53" s="58"/>
      <c r="K53" s="952">
        <f>K52/25*8</f>
        <v>157.44</v>
      </c>
      <c r="L53" s="587" t="s">
        <v>10</v>
      </c>
      <c r="M53" s="1573">
        <f>'3.XT-C KH'!M56</f>
        <v>0</v>
      </c>
      <c r="N53" s="910" t="s">
        <v>8</v>
      </c>
      <c r="O53" s="1586" t="str">
        <f>IF(M52=0,"",O52/25*8)</f>
        <v/>
      </c>
      <c r="P53" s="911" t="s">
        <v>10</v>
      </c>
      <c r="Q53" s="2191"/>
      <c r="R53" s="58"/>
      <c r="S53" s="952">
        <f>S52/25*8</f>
        <v>157.44</v>
      </c>
      <c r="T53" s="587" t="s">
        <v>10</v>
      </c>
      <c r="U53" s="1573">
        <f>'3.XT-C KH'!U56</f>
        <v>0</v>
      </c>
      <c r="V53" s="910" t="s">
        <v>8</v>
      </c>
      <c r="W53" s="1586" t="str">
        <f>IF(U52=0,"",W52/25*8)</f>
        <v/>
      </c>
      <c r="X53" s="911" t="s">
        <v>10</v>
      </c>
      <c r="Y53" s="2191"/>
      <c r="Z53" s="58"/>
      <c r="AA53" s="952">
        <f>AA52/25*8</f>
        <v>157.44</v>
      </c>
      <c r="AB53" s="587" t="s">
        <v>10</v>
      </c>
      <c r="AC53" s="1573">
        <f>'3.XT-C KH'!AC56</f>
        <v>0</v>
      </c>
      <c r="AD53" s="910" t="s">
        <v>8</v>
      </c>
      <c r="AE53" s="1586" t="str">
        <f>IF(AC52=0,"",AE52/25*8)</f>
        <v/>
      </c>
      <c r="AF53" s="911" t="s">
        <v>10</v>
      </c>
      <c r="AG53" s="1567"/>
    </row>
    <row r="54" spans="1:38" ht="46.5" customHeight="1">
      <c r="A54" s="3249">
        <v>4</v>
      </c>
      <c r="B54" s="3162" t="s">
        <v>943</v>
      </c>
      <c r="C54" s="3163"/>
      <c r="D54" s="3134" t="s">
        <v>231</v>
      </c>
      <c r="E54" s="3136" t="s">
        <v>231</v>
      </c>
      <c r="F54" s="1570" t="s">
        <v>4</v>
      </c>
      <c r="G54" s="897" t="str">
        <f>'XM.FILE GOC'!$E$84</f>
        <v>50~70</v>
      </c>
      <c r="H54" s="2202" t="str">
        <f>'XM.FILE GOC'!$F$84</f>
        <v>(60±5)</v>
      </c>
      <c r="I54" s="2205">
        <f>'XM.FILE GOC'!AD84</f>
        <v>0</v>
      </c>
      <c r="J54" s="969" t="s">
        <v>8</v>
      </c>
      <c r="K54" s="970">
        <f>'XM.FILE GOC'!AG84</f>
        <v>520.08000000000004</v>
      </c>
      <c r="L54" s="971" t="s">
        <v>9</v>
      </c>
      <c r="M54" s="1573">
        <f>'3.XT-C KH'!M57</f>
        <v>0</v>
      </c>
      <c r="N54" s="908" t="s">
        <v>8</v>
      </c>
      <c r="O54" s="1589" t="str">
        <f>IF(M54=0,"",('XM.FILE GOC'!$G$84-M54)*8668/1000)</f>
        <v/>
      </c>
      <c r="P54" s="909" t="s">
        <v>9</v>
      </c>
      <c r="Q54" s="2205">
        <f>'XM.FILE GOC'!AK84</f>
        <v>0</v>
      </c>
      <c r="R54" s="969" t="s">
        <v>8</v>
      </c>
      <c r="S54" s="970">
        <f>'XM.FILE GOC'!AN84</f>
        <v>520.08000000000004</v>
      </c>
      <c r="T54" s="971" t="s">
        <v>9</v>
      </c>
      <c r="U54" s="1573">
        <f>'3.XT-C KH'!U57</f>
        <v>0</v>
      </c>
      <c r="V54" s="908" t="s">
        <v>8</v>
      </c>
      <c r="W54" s="1589" t="str">
        <f>IF(U54=0,"",('XM.FILE GOC'!$G$84-U54)*8668/1000)</f>
        <v/>
      </c>
      <c r="X54" s="909" t="s">
        <v>9</v>
      </c>
      <c r="Y54" s="2205">
        <f>'XM.FILE GOC'!AR84</f>
        <v>0</v>
      </c>
      <c r="Z54" s="969" t="s">
        <v>8</v>
      </c>
      <c r="AA54" s="970">
        <f>'XM.FILE GOC'!AU84</f>
        <v>520.08000000000004</v>
      </c>
      <c r="AB54" s="971" t="s">
        <v>9</v>
      </c>
      <c r="AC54" s="1573">
        <f>'3.XT-C KH'!AC57</f>
        <v>0</v>
      </c>
      <c r="AD54" s="908" t="s">
        <v>8</v>
      </c>
      <c r="AE54" s="1589" t="str">
        <f>IF(AC54=0,"",('XM.FILE GOC'!$G$84-AC54)*8668/1000)</f>
        <v/>
      </c>
      <c r="AF54" s="909" t="s">
        <v>9</v>
      </c>
      <c r="AG54" s="1567" t="s">
        <v>39</v>
      </c>
    </row>
    <row r="55" spans="1:38" ht="46.5" customHeight="1">
      <c r="A55" s="3255"/>
      <c r="B55" s="3163"/>
      <c r="C55" s="3163"/>
      <c r="D55" s="3134" t="s">
        <v>232</v>
      </c>
      <c r="E55" s="3136" t="s">
        <v>232</v>
      </c>
      <c r="F55" s="896"/>
      <c r="G55" s="897" t="s">
        <v>1261</v>
      </c>
      <c r="H55" s="2202"/>
      <c r="I55" s="2191"/>
      <c r="J55" s="58"/>
      <c r="K55" s="952">
        <f>K54/25*8</f>
        <v>166.4256</v>
      </c>
      <c r="L55" s="587" t="s">
        <v>10</v>
      </c>
      <c r="M55" s="1573">
        <f>'3.XT-C KH'!M58</f>
        <v>0</v>
      </c>
      <c r="N55" s="910" t="s">
        <v>8</v>
      </c>
      <c r="O55" s="1586" t="str">
        <f>IF(M54=0,"",O54/25*8)</f>
        <v/>
      </c>
      <c r="P55" s="911" t="s">
        <v>10</v>
      </c>
      <c r="Q55" s="2191"/>
      <c r="R55" s="58"/>
      <c r="S55" s="952">
        <f>S54/25*8</f>
        <v>166.4256</v>
      </c>
      <c r="T55" s="587" t="s">
        <v>10</v>
      </c>
      <c r="U55" s="1573">
        <f>'3.XT-C KH'!U58</f>
        <v>0</v>
      </c>
      <c r="V55" s="910" t="s">
        <v>8</v>
      </c>
      <c r="W55" s="1586" t="str">
        <f>IF(U54=0,"",W54/25*8)</f>
        <v/>
      </c>
      <c r="X55" s="911" t="s">
        <v>10</v>
      </c>
      <c r="Y55" s="2191"/>
      <c r="Z55" s="58"/>
      <c r="AA55" s="952">
        <f>AA54/25*8</f>
        <v>166.4256</v>
      </c>
      <c r="AB55" s="587" t="s">
        <v>10</v>
      </c>
      <c r="AC55" s="1573">
        <f>'3.XT-C KH'!AC58</f>
        <v>0</v>
      </c>
      <c r="AD55" s="910" t="s">
        <v>8</v>
      </c>
      <c r="AE55" s="1586" t="str">
        <f>IF(AC54=0,"",AE54/25*8)</f>
        <v/>
      </c>
      <c r="AF55" s="911" t="s">
        <v>10</v>
      </c>
      <c r="AG55" s="1567"/>
    </row>
    <row r="56" spans="1:38" ht="46.5" customHeight="1">
      <c r="A56" s="3249">
        <v>5</v>
      </c>
      <c r="B56" s="3934" t="s">
        <v>944</v>
      </c>
      <c r="C56" s="3936" t="s">
        <v>945</v>
      </c>
      <c r="D56" s="3937"/>
      <c r="E56" s="3938"/>
      <c r="F56" s="632" t="s">
        <v>4</v>
      </c>
      <c r="G56" s="897" t="str">
        <f>'XM.FILE GOC'!$E$86</f>
        <v>135~ 145</v>
      </c>
      <c r="H56" s="2202" t="str">
        <f>'XM.FILE GOC'!$F$86</f>
        <v>(140±5)</v>
      </c>
      <c r="I56" s="2207">
        <f>'XM.FILE GOC'!AD86</f>
        <v>0</v>
      </c>
      <c r="J56" s="969" t="s">
        <v>8</v>
      </c>
      <c r="K56" s="970">
        <f>'XM.FILE GOC'!AG86</f>
        <v>7429.24</v>
      </c>
      <c r="L56" s="971" t="s">
        <v>9</v>
      </c>
      <c r="M56" s="1573">
        <f>'3.XT-C KH'!M59</f>
        <v>0</v>
      </c>
      <c r="N56" s="908" t="s">
        <v>8</v>
      </c>
      <c r="O56" s="1589" t="str">
        <f>IF(M56=0,"",('XM.FILE GOC'!$G$86-M56)*53066/1000)</f>
        <v/>
      </c>
      <c r="P56" s="909" t="s">
        <v>9</v>
      </c>
      <c r="Q56" s="2207">
        <f>'XM.FILE GOC'!AK86</f>
        <v>0</v>
      </c>
      <c r="R56" s="969" t="s">
        <v>8</v>
      </c>
      <c r="S56" s="970">
        <f>'XM.FILE GOC'!AN86</f>
        <v>7429.24</v>
      </c>
      <c r="T56" s="971" t="s">
        <v>9</v>
      </c>
      <c r="U56" s="1573">
        <f>'3.XT-C KH'!U59</f>
        <v>0</v>
      </c>
      <c r="V56" s="908" t="s">
        <v>8</v>
      </c>
      <c r="W56" s="1589" t="str">
        <f>IF(U56=0,"",('XM.FILE GOC'!$G$86-U56)*53066/1000)</f>
        <v/>
      </c>
      <c r="X56" s="909" t="s">
        <v>9</v>
      </c>
      <c r="Y56" s="2207">
        <f>'XM.FILE GOC'!AR86</f>
        <v>0</v>
      </c>
      <c r="Z56" s="969" t="s">
        <v>8</v>
      </c>
      <c r="AA56" s="970">
        <f>'XM.FILE GOC'!AU86</f>
        <v>7429.24</v>
      </c>
      <c r="AB56" s="971" t="s">
        <v>9</v>
      </c>
      <c r="AC56" s="1573">
        <f>'3.XT-C KH'!AC59</f>
        <v>0</v>
      </c>
      <c r="AD56" s="908" t="s">
        <v>8</v>
      </c>
      <c r="AE56" s="1589" t="str">
        <f>IF(AC56=0,"",('XM.FILE GOC'!$G$86-AC56)*53066/1000)</f>
        <v/>
      </c>
      <c r="AF56" s="909" t="s">
        <v>9</v>
      </c>
      <c r="AG56" s="1567" t="s">
        <v>40</v>
      </c>
    </row>
    <row r="57" spans="1:38" ht="46.5" customHeight="1">
      <c r="A57" s="3255"/>
      <c r="B57" s="3935"/>
      <c r="C57" s="3939" t="s">
        <v>946</v>
      </c>
      <c r="D57" s="3940"/>
      <c r="E57" s="3941"/>
      <c r="F57" s="2272" t="s">
        <v>4</v>
      </c>
      <c r="G57" s="1577" t="str">
        <f>'XM.FILE GOC'!$E$87</f>
        <v>7~10</v>
      </c>
      <c r="H57" s="2216" t="str">
        <f>'XM.FILE GOC'!$F$87</f>
        <v>(8.5±1)</v>
      </c>
      <c r="I57" s="2273">
        <f>'XM.FILE GOC'!AD87</f>
        <v>0</v>
      </c>
      <c r="J57" s="2274" t="s">
        <v>8</v>
      </c>
      <c r="K57" s="2275">
        <f>'XM.FILE GOC'!AG87</f>
        <v>451.06099999999998</v>
      </c>
      <c r="L57" s="2276" t="s">
        <v>9</v>
      </c>
      <c r="M57" s="2102">
        <f>'3.XT-C KH'!M60</f>
        <v>0</v>
      </c>
      <c r="N57" s="2277" t="s">
        <v>8</v>
      </c>
      <c r="O57" s="2278" t="str">
        <f>IF(M57=0,"",('XM.FILE GOC'!$G$87-M57)*53066/1000)</f>
        <v/>
      </c>
      <c r="P57" s="2279" t="s">
        <v>9</v>
      </c>
      <c r="Q57" s="2273">
        <f>'XM.FILE GOC'!AK87</f>
        <v>0</v>
      </c>
      <c r="R57" s="2274" t="s">
        <v>8</v>
      </c>
      <c r="S57" s="2275">
        <f>'XM.FILE GOC'!AN87</f>
        <v>451.06099999999998</v>
      </c>
      <c r="T57" s="2276" t="s">
        <v>9</v>
      </c>
      <c r="U57" s="2102">
        <f>'3.XT-C KH'!U60</f>
        <v>0</v>
      </c>
      <c r="V57" s="2277" t="s">
        <v>8</v>
      </c>
      <c r="W57" s="2278" t="str">
        <f>IF(U57=0,"",('XM.FILE GOC'!$G$87-U57)*53066/1000)</f>
        <v/>
      </c>
      <c r="X57" s="2279" t="s">
        <v>9</v>
      </c>
      <c r="Y57" s="2273">
        <f>'XM.FILE GOC'!AR87</f>
        <v>0</v>
      </c>
      <c r="Z57" s="2274" t="s">
        <v>8</v>
      </c>
      <c r="AA57" s="2275">
        <f>'XM.FILE GOC'!AU87</f>
        <v>451.06099999999998</v>
      </c>
      <c r="AB57" s="2279" t="s">
        <v>9</v>
      </c>
      <c r="AC57" s="2102">
        <f>'3.XT-C KH'!AC60</f>
        <v>0</v>
      </c>
      <c r="AD57" s="2277" t="s">
        <v>8</v>
      </c>
      <c r="AE57" s="2278" t="str">
        <f>IF(AC57=0,"",('XM.FILE GOC'!$G$87-AC57)*53066/1000)</f>
        <v/>
      </c>
      <c r="AF57" s="2279" t="s">
        <v>9</v>
      </c>
      <c r="AG57" s="2270" t="s">
        <v>41</v>
      </c>
    </row>
    <row r="58" spans="1:38" s="7" customFormat="1" ht="46.5" customHeight="1">
      <c r="A58" s="3921">
        <v>6</v>
      </c>
      <c r="B58" s="3942" t="s">
        <v>37</v>
      </c>
      <c r="C58" s="3943"/>
      <c r="D58" s="3943"/>
      <c r="E58" s="3946"/>
      <c r="F58" s="2282" t="s">
        <v>3</v>
      </c>
      <c r="G58" s="2283" t="s">
        <v>1302</v>
      </c>
      <c r="H58" s="2284" t="s">
        <v>1292</v>
      </c>
      <c r="I58" s="2293">
        <f>'XM.FILE GOC'!AD97</f>
        <v>0</v>
      </c>
      <c r="J58" s="2286"/>
      <c r="K58" s="2287">
        <f>'XM.FILE GOC'!AG97</f>
        <v>470.4</v>
      </c>
      <c r="L58" s="2288" t="s">
        <v>10</v>
      </c>
      <c r="M58" s="2289"/>
      <c r="N58" s="2290"/>
      <c r="O58" s="2291" t="str">
        <f>IF(M58=0,"",('XM.FILE GOC'!$G$97-M58)*3360/102)</f>
        <v/>
      </c>
      <c r="P58" s="2292" t="s">
        <v>10</v>
      </c>
      <c r="Q58" s="2293">
        <f>'XM.FILE GOC'!AK97</f>
        <v>0</v>
      </c>
      <c r="R58" s="2286"/>
      <c r="S58" s="2287">
        <f>'XM.FILE GOC'!AN97</f>
        <v>470.4</v>
      </c>
      <c r="T58" s="2288" t="s">
        <v>10</v>
      </c>
      <c r="U58" s="2289"/>
      <c r="V58" s="2290"/>
      <c r="W58" s="2291" t="str">
        <f>IF(U58=0,"",('XM.FILE GOC'!$G$97-U58)*3360/102)</f>
        <v/>
      </c>
      <c r="X58" s="2292" t="s">
        <v>10</v>
      </c>
      <c r="Y58" s="2293">
        <f>'XM.FILE GOC'!AR97</f>
        <v>0</v>
      </c>
      <c r="Z58" s="2286"/>
      <c r="AA58" s="2287">
        <f>'XM.FILE GOC'!AU97</f>
        <v>470.4</v>
      </c>
      <c r="AB58" s="2288" t="s">
        <v>10</v>
      </c>
      <c r="AC58" s="2289"/>
      <c r="AD58" s="2290"/>
      <c r="AE58" s="2291" t="str">
        <f>IF(AC58=0,"",('XM.FILE GOC'!$G$97-AC58)*3360/102)</f>
        <v/>
      </c>
      <c r="AF58" s="2292" t="s">
        <v>10</v>
      </c>
      <c r="AG58" s="2294" t="s">
        <v>42</v>
      </c>
      <c r="AI58" s="1571"/>
      <c r="AL58" s="944"/>
    </row>
    <row r="59" spans="1:38" ht="46.5" customHeight="1">
      <c r="A59" s="3922"/>
      <c r="B59" s="3944"/>
      <c r="C59" s="3945"/>
      <c r="D59" s="3945"/>
      <c r="E59" s="3947"/>
      <c r="F59" s="2295" t="s">
        <v>5</v>
      </c>
      <c r="G59" s="2296" t="s">
        <v>1300</v>
      </c>
      <c r="H59" s="2297" t="s">
        <v>1293</v>
      </c>
      <c r="I59" s="2306">
        <f>'XM.FILE GOC'!AD98</f>
        <v>0</v>
      </c>
      <c r="J59" s="2299"/>
      <c r="K59" s="2300"/>
      <c r="L59" s="2301"/>
      <c r="M59" s="2302"/>
      <c r="N59" s="2303"/>
      <c r="O59" s="2304"/>
      <c r="P59" s="2305"/>
      <c r="Q59" s="2306">
        <f>'XM.FILE GOC'!AK98</f>
        <v>0</v>
      </c>
      <c r="R59" s="2299"/>
      <c r="S59" s="2300"/>
      <c r="T59" s="2301"/>
      <c r="U59" s="2302"/>
      <c r="V59" s="2303"/>
      <c r="W59" s="2304"/>
      <c r="X59" s="2305"/>
      <c r="Y59" s="2306">
        <f>'XM.FILE GOC'!AR98</f>
        <v>0</v>
      </c>
      <c r="Z59" s="2307"/>
      <c r="AA59" s="2308"/>
      <c r="AB59" s="2309"/>
      <c r="AC59" s="2302"/>
      <c r="AD59" s="2303"/>
      <c r="AE59" s="2304"/>
      <c r="AF59" s="2305"/>
      <c r="AG59" s="2310"/>
    </row>
    <row r="60" spans="1:38" ht="46.5" customHeight="1">
      <c r="A60" s="2680">
        <v>7</v>
      </c>
      <c r="B60" s="3264" t="s">
        <v>81</v>
      </c>
      <c r="C60" s="3265"/>
      <c r="D60" s="3265"/>
      <c r="E60" s="3266"/>
      <c r="F60" s="632" t="s">
        <v>6</v>
      </c>
      <c r="G60" s="897" t="str">
        <f>'XM.FILE GOC'!$E$90</f>
        <v>40~50</v>
      </c>
      <c r="H60" s="2202" t="str">
        <f>'XM.FILE GOC'!$F$90</f>
        <v>(45±5)</v>
      </c>
      <c r="I60" s="1747">
        <f>'XM.FILE GOC'!AD90</f>
        <v>0</v>
      </c>
      <c r="J60" s="969" t="s">
        <v>8</v>
      </c>
      <c r="K60" s="970">
        <f>'XM.FILE GOC'!AG90</f>
        <v>1455.3</v>
      </c>
      <c r="L60" s="971" t="s">
        <v>10</v>
      </c>
      <c r="M60" s="914">
        <f>IF(I60&gt;44.99%,"",'3.XT-C KH'!M63)</f>
        <v>0</v>
      </c>
      <c r="N60" s="908" t="s">
        <v>8</v>
      </c>
      <c r="O60" s="935">
        <f>IF(M60="","",('XM.FILE GOC'!$G$90-M60)*3234)</f>
        <v>1455.3</v>
      </c>
      <c r="P60" s="911" t="s">
        <v>10</v>
      </c>
      <c r="Q60" s="1747">
        <f>'XM.FILE GOC'!AK90</f>
        <v>0</v>
      </c>
      <c r="R60" s="969" t="s">
        <v>8</v>
      </c>
      <c r="S60" s="970">
        <f>'XM.FILE GOC'!AN90</f>
        <v>1455.3</v>
      </c>
      <c r="T60" s="971" t="s">
        <v>10</v>
      </c>
      <c r="U60" s="914">
        <f>IF(Q60&gt;44.99%,"",'3.XT-C KH'!U63)</f>
        <v>0</v>
      </c>
      <c r="V60" s="908" t="s">
        <v>8</v>
      </c>
      <c r="W60" s="935">
        <f>IF(U60="","",('XM.FILE GOC'!$G$90-U60)*3234)</f>
        <v>1455.3</v>
      </c>
      <c r="X60" s="911" t="s">
        <v>10</v>
      </c>
      <c r="Y60" s="1747">
        <f>'XM.FILE GOC'!AR90</f>
        <v>0</v>
      </c>
      <c r="Z60" s="969" t="s">
        <v>8</v>
      </c>
      <c r="AA60" s="970">
        <f>'XM.FILE GOC'!AU90</f>
        <v>1455.3</v>
      </c>
      <c r="AB60" s="971" t="s">
        <v>10</v>
      </c>
      <c r="AC60" s="914">
        <f>IF(Y60&gt;44.99%,"",'3.XT-C KH'!AC63)</f>
        <v>0</v>
      </c>
      <c r="AD60" s="908" t="s">
        <v>8</v>
      </c>
      <c r="AE60" s="935">
        <f>IF(AC60="","",('XM.FILE GOC'!$G$90-AC60)*3234)</f>
        <v>1455.3</v>
      </c>
      <c r="AF60" s="911" t="s">
        <v>10</v>
      </c>
      <c r="AG60" s="2678"/>
    </row>
    <row r="61" spans="1:38" ht="46.5" customHeight="1">
      <c r="A61" s="2677">
        <v>8</v>
      </c>
      <c r="B61" s="3239" t="s">
        <v>1583</v>
      </c>
      <c r="C61" s="3240"/>
      <c r="D61" s="3240"/>
      <c r="E61" s="3241"/>
      <c r="F61" s="632" t="s">
        <v>6</v>
      </c>
      <c r="G61" s="897" t="str">
        <f>'XM.FILE GOC'!$E$91</f>
        <v>10~20</v>
      </c>
      <c r="H61" s="2202" t="str">
        <f>'XM.FILE GOC'!$F$91</f>
        <v>(15±5)</v>
      </c>
      <c r="I61" s="2714">
        <f>'XM.FILE GOC'!AD91</f>
        <v>0</v>
      </c>
      <c r="J61" s="969" t="s">
        <v>8</v>
      </c>
      <c r="K61" s="970">
        <f>'XM.FILE GOC'!AG91</f>
        <v>504.15</v>
      </c>
      <c r="L61" s="971" t="s">
        <v>10</v>
      </c>
      <c r="M61" s="914">
        <f>IF(I61&gt;7.99%,"",'3.XT-C KH'!M64)</f>
        <v>0</v>
      </c>
      <c r="N61" s="908" t="s">
        <v>8</v>
      </c>
      <c r="O61" s="1588">
        <f>IF(M61="","",('XM.FILE GOC'!$G$91-M61)*3361)</f>
        <v>504.15</v>
      </c>
      <c r="P61" s="911" t="s">
        <v>10</v>
      </c>
      <c r="Q61" s="2714">
        <f>'XM.FILE GOC'!AK91</f>
        <v>0</v>
      </c>
      <c r="R61" s="969" t="s">
        <v>8</v>
      </c>
      <c r="S61" s="970">
        <f>'XM.FILE GOC'!AN91</f>
        <v>504.15</v>
      </c>
      <c r="T61" s="971" t="s">
        <v>10</v>
      </c>
      <c r="U61" s="914">
        <f>IF(Q61&gt;7.99%,"",'3.XT-C KH'!U64)</f>
        <v>0</v>
      </c>
      <c r="V61" s="908" t="s">
        <v>8</v>
      </c>
      <c r="W61" s="1588">
        <f>IF(U61="","",('XM.FILE GOC'!$G$91-U61)*3361)</f>
        <v>504.15</v>
      </c>
      <c r="X61" s="911" t="s">
        <v>10</v>
      </c>
      <c r="Y61" s="2714">
        <f>'XM.FILE GOC'!AR91</f>
        <v>0</v>
      </c>
      <c r="Z61" s="969" t="s">
        <v>8</v>
      </c>
      <c r="AA61" s="970">
        <f>'XM.FILE GOC'!AU91</f>
        <v>504.15</v>
      </c>
      <c r="AB61" s="971" t="s">
        <v>10</v>
      </c>
      <c r="AC61" s="914">
        <f>IF(Y61&gt;7.99%,"",'3.XT-C KH'!AC64)</f>
        <v>0</v>
      </c>
      <c r="AD61" s="908" t="s">
        <v>8</v>
      </c>
      <c r="AE61" s="1588">
        <f>IF(AC61="","",('XM.FILE GOC'!$G$91-AC61)*3361)</f>
        <v>504.15</v>
      </c>
      <c r="AF61" s="911" t="s">
        <v>10</v>
      </c>
      <c r="AG61" s="2271" t="s">
        <v>43</v>
      </c>
    </row>
    <row r="62" spans="1:38" ht="46.5" customHeight="1">
      <c r="A62" s="2680">
        <v>9</v>
      </c>
      <c r="B62" s="3239" t="s">
        <v>1584</v>
      </c>
      <c r="C62" s="3240"/>
      <c r="D62" s="3240"/>
      <c r="E62" s="3241"/>
      <c r="F62" s="632" t="s">
        <v>6</v>
      </c>
      <c r="G62" s="897" t="str">
        <f>'XM.FILE GOC'!$E$92</f>
        <v>40~50</v>
      </c>
      <c r="H62" s="2202" t="str">
        <f>'XM.FILE GOC'!$F$92</f>
        <v>(45±5)</v>
      </c>
      <c r="I62" s="1747">
        <f>'XM.FILE GOC'!AD92</f>
        <v>0</v>
      </c>
      <c r="J62" s="969" t="s">
        <v>8</v>
      </c>
      <c r="K62" s="970">
        <f>'XM.FILE GOC'!AG92</f>
        <v>1512.45</v>
      </c>
      <c r="L62" s="971" t="s">
        <v>10</v>
      </c>
      <c r="M62" s="914">
        <f>IF(I62&gt;44.99%,"",'3.XT-C KH'!M65)</f>
        <v>0</v>
      </c>
      <c r="N62" s="908" t="s">
        <v>8</v>
      </c>
      <c r="O62" s="1588">
        <f>IF(M62="","",('XM.FILE GOC'!$G$92-M62)*3361)</f>
        <v>1512.45</v>
      </c>
      <c r="P62" s="911" t="s">
        <v>10</v>
      </c>
      <c r="Q62" s="1747">
        <f>'XM.FILE GOC'!AK92</f>
        <v>0</v>
      </c>
      <c r="R62" s="969" t="s">
        <v>8</v>
      </c>
      <c r="S62" s="970">
        <f>'XM.FILE GOC'!AN92</f>
        <v>1512.45</v>
      </c>
      <c r="T62" s="971" t="s">
        <v>10</v>
      </c>
      <c r="U62" s="914">
        <f>IF(Q62&gt;44.99%,"",'3.XT-C KH'!U65)</f>
        <v>0</v>
      </c>
      <c r="V62" s="908" t="s">
        <v>8</v>
      </c>
      <c r="W62" s="1588">
        <f>IF(U62="","",('XM.FILE GOC'!$G$92-U62)*3361)</f>
        <v>1512.45</v>
      </c>
      <c r="X62" s="911" t="s">
        <v>10</v>
      </c>
      <c r="Y62" s="1747">
        <f>'XM.FILE GOC'!AR92</f>
        <v>0</v>
      </c>
      <c r="Z62" s="969" t="s">
        <v>8</v>
      </c>
      <c r="AA62" s="970">
        <f>'XM.FILE GOC'!AU92</f>
        <v>1512.45</v>
      </c>
      <c r="AB62" s="971" t="s">
        <v>10</v>
      </c>
      <c r="AC62" s="914">
        <f>IF(Y62&gt;44.99%,"",'3.XT-C KH'!AC65)</f>
        <v>0</v>
      </c>
      <c r="AD62" s="908" t="s">
        <v>8</v>
      </c>
      <c r="AE62" s="1588">
        <f>IF(AC62="","",('XM.FILE GOC'!$G$92-AC62)*3361)</f>
        <v>1512.45</v>
      </c>
      <c r="AF62" s="911" t="s">
        <v>10</v>
      </c>
      <c r="AG62" s="2679"/>
    </row>
    <row r="63" spans="1:38" ht="46.5" customHeight="1">
      <c r="A63" s="2677">
        <v>10</v>
      </c>
      <c r="B63" s="3236" t="s">
        <v>1585</v>
      </c>
      <c r="C63" s="3237"/>
      <c r="D63" s="3237"/>
      <c r="E63" s="3238"/>
      <c r="F63" s="632" t="s">
        <v>6</v>
      </c>
      <c r="G63" s="897" t="str">
        <f>'XM.FILE GOC'!$E$93</f>
        <v>40~50</v>
      </c>
      <c r="H63" s="2202" t="str">
        <f>'XM.FILE GOC'!$F$93</f>
        <v>(45±5)</v>
      </c>
      <c r="I63" s="1747">
        <f>'XM.FILE GOC'!AD93</f>
        <v>0</v>
      </c>
      <c r="J63" s="969" t="s">
        <v>8</v>
      </c>
      <c r="K63" s="970">
        <f>'XM.FILE GOC'!AG93</f>
        <v>4729.05</v>
      </c>
      <c r="L63" s="971" t="s">
        <v>10</v>
      </c>
      <c r="M63" s="914">
        <f>IF(I63&gt;44.99%,"",'3.XT-C KH'!M66)</f>
        <v>0</v>
      </c>
      <c r="N63" s="910" t="s">
        <v>8</v>
      </c>
      <c r="O63" s="1588">
        <f>IF(M63="","",('XM.FILE GOC'!$G$93-M63)*10509)</f>
        <v>4729.05</v>
      </c>
      <c r="P63" s="911" t="s">
        <v>10</v>
      </c>
      <c r="Q63" s="1747">
        <f>'XM.FILE GOC'!AK93</f>
        <v>0</v>
      </c>
      <c r="R63" s="969" t="s">
        <v>8</v>
      </c>
      <c r="S63" s="970">
        <f>'XM.FILE GOC'!AN93</f>
        <v>4729.05</v>
      </c>
      <c r="T63" s="971" t="s">
        <v>10</v>
      </c>
      <c r="U63" s="914">
        <f>IF(Q63&gt;44.99%,"",'3.XT-C KH'!U66)</f>
        <v>0</v>
      </c>
      <c r="V63" s="910" t="s">
        <v>8</v>
      </c>
      <c r="W63" s="1588">
        <f>IF(U63="","",('XM.FILE GOC'!$G$93-U63)*10509)</f>
        <v>4729.05</v>
      </c>
      <c r="X63" s="911" t="s">
        <v>10</v>
      </c>
      <c r="Y63" s="1747">
        <f>'XM.FILE GOC'!AR93</f>
        <v>0</v>
      </c>
      <c r="Z63" s="969" t="s">
        <v>8</v>
      </c>
      <c r="AA63" s="970">
        <f>'XM.FILE GOC'!AU93</f>
        <v>4729.05</v>
      </c>
      <c r="AB63" s="971" t="s">
        <v>10</v>
      </c>
      <c r="AC63" s="914">
        <f>IF(Y63&gt;44.99%,"",'3.XT-C KH'!AC66)</f>
        <v>0</v>
      </c>
      <c r="AD63" s="910" t="s">
        <v>8</v>
      </c>
      <c r="AE63" s="1588">
        <f>IF(AC63="","",('XM.FILE GOC'!$G$93-AC63)*10509)</f>
        <v>4729.05</v>
      </c>
      <c r="AF63" s="911" t="s">
        <v>10</v>
      </c>
      <c r="AG63" s="68" t="s">
        <v>43</v>
      </c>
    </row>
    <row r="64" spans="1:38" ht="46.5" customHeight="1">
      <c r="A64" s="1568">
        <v>10</v>
      </c>
      <c r="B64" s="3264" t="s">
        <v>947</v>
      </c>
      <c r="C64" s="3265" t="s">
        <v>947</v>
      </c>
      <c r="D64" s="3265" t="s">
        <v>947</v>
      </c>
      <c r="E64" s="3266" t="s">
        <v>947</v>
      </c>
      <c r="F64" s="632" t="s">
        <v>6</v>
      </c>
      <c r="G64" s="897" t="str">
        <f>'XM.FILE GOC'!$E$94</f>
        <v>0.5~1.0</v>
      </c>
      <c r="H64" s="2202" t="str">
        <f>'XM.FILE GOC'!$F$94</f>
        <v>(0.7±0.1)</v>
      </c>
      <c r="I64" s="2210">
        <f>'XM.FILE GOC'!AD94</f>
        <v>0</v>
      </c>
      <c r="J64" s="969" t="s">
        <v>8</v>
      </c>
      <c r="K64" s="973">
        <f>'XM.FILE GOC'!AG94</f>
        <v>20.026490066225165</v>
      </c>
      <c r="L64" s="974" t="s">
        <v>10</v>
      </c>
      <c r="M64" s="1572">
        <f>IF(I64&gt;0.99%,"",'3.XT-C KH'!M67)</f>
        <v>0</v>
      </c>
      <c r="N64" s="946" t="s">
        <v>8</v>
      </c>
      <c r="O64" s="1590">
        <f>IF(M64="","",('XM.FILE GOC'!$G$94-M64)*2808)</f>
        <v>19.655999999999999</v>
      </c>
      <c r="P64" s="916" t="s">
        <v>10</v>
      </c>
      <c r="Q64" s="2210">
        <f>'XM.FILE GOC'!AK94</f>
        <v>0</v>
      </c>
      <c r="R64" s="969" t="s">
        <v>8</v>
      </c>
      <c r="S64" s="973">
        <f>'XM.FILE GOC'!AN94</f>
        <v>20.026490066225165</v>
      </c>
      <c r="T64" s="974" t="s">
        <v>10</v>
      </c>
      <c r="U64" s="1572">
        <f>IF(Q64&gt;0.99%,"",'3.XT-C KH'!U67)</f>
        <v>0</v>
      </c>
      <c r="V64" s="946" t="s">
        <v>8</v>
      </c>
      <c r="W64" s="1590">
        <f>IF(U64="","",('XM.FILE GOC'!$G$94-U64)*2808)</f>
        <v>19.655999999999999</v>
      </c>
      <c r="X64" s="916" t="s">
        <v>10</v>
      </c>
      <c r="Y64" s="2210">
        <f>'XM.FILE GOC'!AR94</f>
        <v>0</v>
      </c>
      <c r="Z64" s="969" t="s">
        <v>8</v>
      </c>
      <c r="AA64" s="973">
        <f>'XM.FILE GOC'!AU94</f>
        <v>20.026490066225165</v>
      </c>
      <c r="AB64" s="974" t="s">
        <v>10</v>
      </c>
      <c r="AC64" s="1572">
        <f>IF(Y64&gt;0.99%,"",'3.XT-C KH'!AC67)</f>
        <v>0</v>
      </c>
      <c r="AD64" s="946" t="s">
        <v>8</v>
      </c>
      <c r="AE64" s="1590">
        <f>IF(AC64="","",('XM.FILE GOC'!$G$94-AC64)*2808)</f>
        <v>19.655999999999999</v>
      </c>
      <c r="AF64" s="916" t="s">
        <v>10</v>
      </c>
      <c r="AG64" s="1567" t="s">
        <v>44</v>
      </c>
    </row>
    <row r="65" spans="1:38" ht="46.5" hidden="1" customHeight="1">
      <c r="A65" s="2243">
        <v>11</v>
      </c>
      <c r="B65" s="3143" t="s">
        <v>73</v>
      </c>
      <c r="C65" s="3144"/>
      <c r="D65" s="3144"/>
      <c r="E65" s="3145"/>
      <c r="F65" s="2" t="s">
        <v>3</v>
      </c>
      <c r="G65" s="897" t="str">
        <f>'XM.GUI MAIL'!$E$95</f>
        <v>5~8</v>
      </c>
      <c r="H65" s="2202" t="str">
        <f>'XM.GUI MAIL'!$F$95</f>
        <v>(6±0.5)</v>
      </c>
      <c r="I65" s="1833">
        <f>'XM.FILE GOC'!AD94</f>
        <v>0</v>
      </c>
      <c r="J65" s="969" t="s">
        <v>8</v>
      </c>
      <c r="K65" s="970">
        <f>'XM.FILE GOC'!AG94</f>
        <v>20.026490066225165</v>
      </c>
      <c r="L65" s="974" t="s">
        <v>10</v>
      </c>
      <c r="M65" s="2236"/>
      <c r="N65" s="908" t="s">
        <v>8</v>
      </c>
      <c r="O65" s="935">
        <f>('XM.FILE GOC'!$G$95-M65)*4042/95*1.028</f>
        <v>262.43216842105267</v>
      </c>
      <c r="P65" s="909" t="s">
        <v>10</v>
      </c>
      <c r="Q65" s="1833">
        <f>'XM.FILE GOC'!AK94</f>
        <v>0</v>
      </c>
      <c r="R65" s="969" t="s">
        <v>8</v>
      </c>
      <c r="S65" s="970">
        <f>'XM.FILE GOC'!AN94</f>
        <v>20.026490066225165</v>
      </c>
      <c r="T65" s="974" t="s">
        <v>10</v>
      </c>
      <c r="U65" s="2236"/>
      <c r="V65" s="908" t="s">
        <v>8</v>
      </c>
      <c r="W65" s="935">
        <f>('XM.FILE GOC'!$G$95-U65)*4042/95*1.028</f>
        <v>262.43216842105267</v>
      </c>
      <c r="X65" s="909" t="s">
        <v>10</v>
      </c>
      <c r="Y65" s="1833">
        <f>'XM.FILE GOC'!AR94</f>
        <v>0</v>
      </c>
      <c r="Z65" s="969" t="s">
        <v>8</v>
      </c>
      <c r="AA65" s="970">
        <f>'XM.FILE GOC'!AU94</f>
        <v>20.026490066225165</v>
      </c>
      <c r="AB65" s="974" t="s">
        <v>10</v>
      </c>
      <c r="AC65" s="2236"/>
      <c r="AD65" s="908" t="s">
        <v>8</v>
      </c>
      <c r="AE65" s="935">
        <f>('XM.FILE GOC'!$G$95-AC65)*4042/95*1.028</f>
        <v>262.43216842105267</v>
      </c>
      <c r="AF65" s="909" t="s">
        <v>10</v>
      </c>
      <c r="AG65" s="2242"/>
    </row>
    <row r="66" spans="1:38" ht="46.5" hidden="1" customHeight="1">
      <c r="A66" s="2243">
        <v>12</v>
      </c>
      <c r="B66" s="3146"/>
      <c r="C66" s="3147"/>
      <c r="D66" s="3147"/>
      <c r="E66" s="3148"/>
      <c r="F66" s="2" t="s">
        <v>5</v>
      </c>
      <c r="G66" s="897" t="str">
        <f>'XM.GUI MAIL'!$E$96</f>
        <v>1.8~2.4</v>
      </c>
      <c r="H66" s="2202" t="str">
        <f>'XM.GUI MAIL'!$F$96</f>
        <v>(2.1±0.1)</v>
      </c>
      <c r="I66" s="1761">
        <f>'XM.FILE GOC'!AD95</f>
        <v>1.4</v>
      </c>
      <c r="J66" s="969"/>
      <c r="K66" s="973"/>
      <c r="L66" s="974"/>
      <c r="M66" s="915"/>
      <c r="N66" s="946"/>
      <c r="O66" s="1590"/>
      <c r="P66" s="916"/>
      <c r="Q66" s="1761">
        <f>'XM.FILE GOC'!AK95</f>
        <v>1.4</v>
      </c>
      <c r="R66" s="969"/>
      <c r="S66" s="973"/>
      <c r="T66" s="974"/>
      <c r="U66" s="915"/>
      <c r="V66" s="946"/>
      <c r="W66" s="1590"/>
      <c r="X66" s="916"/>
      <c r="Y66" s="1761">
        <f>'XM.FILE GOC'!AR95</f>
        <v>1.4</v>
      </c>
      <c r="Z66" s="969"/>
      <c r="AA66" s="973"/>
      <c r="AB66" s="974"/>
      <c r="AC66" s="915"/>
      <c r="AD66" s="946"/>
      <c r="AE66" s="1590"/>
      <c r="AF66" s="916"/>
      <c r="AG66" s="2242"/>
    </row>
    <row r="67" spans="1:38" ht="38.25" customHeight="1">
      <c r="A67" s="1568"/>
      <c r="B67" s="3958" t="s">
        <v>1298</v>
      </c>
      <c r="C67" s="3960"/>
      <c r="D67" s="3960"/>
      <c r="E67" s="3960"/>
      <c r="F67" s="3960"/>
      <c r="G67" s="3960"/>
      <c r="H67" s="3960"/>
      <c r="I67" s="3960"/>
      <c r="J67" s="3960"/>
      <c r="K67" s="3960"/>
      <c r="L67" s="3960"/>
      <c r="M67" s="3960"/>
      <c r="N67" s="3960"/>
      <c r="O67" s="3960"/>
      <c r="P67" s="3960"/>
      <c r="Q67" s="3960"/>
      <c r="R67" s="3960"/>
      <c r="S67" s="3960"/>
      <c r="T67" s="3960"/>
      <c r="U67" s="3960"/>
      <c r="V67" s="3960"/>
      <c r="W67" s="3960"/>
      <c r="X67" s="3960"/>
      <c r="Y67" s="3960"/>
      <c r="Z67" s="3960"/>
      <c r="AA67" s="3960"/>
      <c r="AB67" s="3960"/>
      <c r="AC67" s="3960"/>
      <c r="AD67" s="3960"/>
      <c r="AE67" s="3960"/>
      <c r="AF67" s="3960"/>
      <c r="AG67" s="3961"/>
    </row>
    <row r="68" spans="1:38" ht="53.25" customHeight="1">
      <c r="A68" s="1568" t="s">
        <v>7</v>
      </c>
      <c r="B68" s="3310" t="s">
        <v>948</v>
      </c>
      <c r="C68" s="3311"/>
      <c r="D68" s="3311"/>
      <c r="E68" s="3312"/>
      <c r="F68" s="975" t="s">
        <v>949</v>
      </c>
      <c r="G68" s="975" t="s">
        <v>1296</v>
      </c>
      <c r="H68" s="2204" t="s">
        <v>1289</v>
      </c>
      <c r="I68" s="3229" t="s">
        <v>950</v>
      </c>
      <c r="J68" s="3228"/>
      <c r="K68" s="3229" t="s">
        <v>951</v>
      </c>
      <c r="L68" s="3228"/>
      <c r="M68" s="917"/>
      <c r="N68" s="918"/>
      <c r="O68" s="918"/>
      <c r="P68" s="919"/>
      <c r="Q68" s="3229" t="s">
        <v>950</v>
      </c>
      <c r="R68" s="3228"/>
      <c r="S68" s="3229" t="s">
        <v>951</v>
      </c>
      <c r="T68" s="3228"/>
      <c r="U68" s="917"/>
      <c r="V68" s="918"/>
      <c r="W68" s="918"/>
      <c r="X68" s="919"/>
      <c r="Y68" s="3229" t="s">
        <v>950</v>
      </c>
      <c r="Z68" s="3228"/>
      <c r="AA68" s="3229" t="s">
        <v>951</v>
      </c>
      <c r="AB68" s="3228"/>
      <c r="AC68" s="917"/>
      <c r="AD68" s="918"/>
      <c r="AE68" s="918"/>
      <c r="AF68" s="919"/>
      <c r="AG68" s="10"/>
    </row>
    <row r="69" spans="1:38" ht="45.75" customHeight="1">
      <c r="A69" s="1568">
        <v>1</v>
      </c>
      <c r="B69" s="3310" t="s">
        <v>952</v>
      </c>
      <c r="C69" s="3311"/>
      <c r="D69" s="3311"/>
      <c r="E69" s="3312"/>
      <c r="F69" s="976" t="s">
        <v>953</v>
      </c>
      <c r="G69" s="897" t="str">
        <f>'XM.FILE GOC'!$E$105</f>
        <v>50~70</v>
      </c>
      <c r="H69" s="2202" t="str">
        <f>'XM.FILE GOC'!$F$105</f>
        <v>(60±5)</v>
      </c>
      <c r="I69" s="3195">
        <f>'3.XT-C KH'!I74</f>
        <v>0</v>
      </c>
      <c r="J69" s="3121"/>
      <c r="K69" s="3121">
        <f>'3.XT-C KH'!K74</f>
        <v>0</v>
      </c>
      <c r="L69" s="3121"/>
      <c r="M69" s="920"/>
      <c r="N69" s="921"/>
      <c r="O69" s="921"/>
      <c r="P69" s="922"/>
      <c r="Q69" s="3121">
        <f>'3.XT-C KH'!Q74</f>
        <v>0</v>
      </c>
      <c r="R69" s="3121"/>
      <c r="S69" s="3121">
        <f>'3.XT-C KH'!S74:T74</f>
        <v>0</v>
      </c>
      <c r="T69" s="3121"/>
      <c r="U69" s="920"/>
      <c r="V69" s="921"/>
      <c r="W69" s="921"/>
      <c r="X69" s="922"/>
      <c r="Y69" s="3121">
        <f>'3.XT-C KH'!Y74</f>
        <v>0</v>
      </c>
      <c r="Z69" s="3121"/>
      <c r="AA69" s="3121">
        <f>'3.XT-C KH'!AA74</f>
        <v>0</v>
      </c>
      <c r="AB69" s="3121"/>
      <c r="AC69" s="920"/>
      <c r="AD69" s="921"/>
      <c r="AE69" s="921"/>
      <c r="AF69" s="922"/>
      <c r="AG69" s="1569"/>
    </row>
    <row r="70" spans="1:38" ht="45.75" customHeight="1">
      <c r="A70" s="1568">
        <v>2</v>
      </c>
      <c r="B70" s="3310" t="s">
        <v>954</v>
      </c>
      <c r="C70" s="3311"/>
      <c r="D70" s="3311"/>
      <c r="E70" s="3312"/>
      <c r="F70" s="976" t="s">
        <v>953</v>
      </c>
      <c r="G70" s="897" t="str">
        <f>'XM.FILE GOC'!$E$106</f>
        <v>50~70</v>
      </c>
      <c r="H70" s="2202" t="str">
        <f>'XM.FILE GOC'!$F$106</f>
        <v>(60±5)</v>
      </c>
      <c r="I70" s="3195">
        <f>'3.XT-C KH'!I75</f>
        <v>0</v>
      </c>
      <c r="J70" s="3121"/>
      <c r="K70" s="3121">
        <f>'3.XT-C KH'!K75</f>
        <v>0</v>
      </c>
      <c r="L70" s="3121"/>
      <c r="M70" s="920"/>
      <c r="N70" s="921"/>
      <c r="O70" s="921"/>
      <c r="P70" s="922"/>
      <c r="Q70" s="3121">
        <f>'3.XT-C KH'!Q75</f>
        <v>0</v>
      </c>
      <c r="R70" s="3121"/>
      <c r="S70" s="3121">
        <f>'3.XT-C KH'!S75:T75</f>
        <v>0</v>
      </c>
      <c r="T70" s="3121"/>
      <c r="U70" s="920"/>
      <c r="V70" s="921"/>
      <c r="W70" s="921"/>
      <c r="X70" s="922"/>
      <c r="Y70" s="3121">
        <f>'3.XT-C KH'!Y75</f>
        <v>0</v>
      </c>
      <c r="Z70" s="3121"/>
      <c r="AA70" s="3121">
        <f>'3.XT-C KH'!AA75</f>
        <v>0</v>
      </c>
      <c r="AB70" s="3121"/>
      <c r="AC70" s="920"/>
      <c r="AD70" s="921"/>
      <c r="AE70" s="921"/>
      <c r="AF70" s="922"/>
      <c r="AG70" s="1569"/>
    </row>
    <row r="71" spans="1:38" ht="45.75" customHeight="1">
      <c r="A71" s="1568">
        <v>3</v>
      </c>
      <c r="B71" s="3310" t="s">
        <v>955</v>
      </c>
      <c r="C71" s="3311"/>
      <c r="D71" s="3311"/>
      <c r="E71" s="3312"/>
      <c r="F71" s="976" t="s">
        <v>953</v>
      </c>
      <c r="G71" s="897" t="str">
        <f>'XM.FILE GOC'!$E$107</f>
        <v>50~70</v>
      </c>
      <c r="H71" s="2202" t="str">
        <f>'XM.FILE GOC'!$F$107</f>
        <v>(60±5)</v>
      </c>
      <c r="I71" s="3195">
        <f>'3.XT-C KH'!I76</f>
        <v>0</v>
      </c>
      <c r="J71" s="3121"/>
      <c r="K71" s="3121">
        <f>'3.XT-C KH'!K76</f>
        <v>0</v>
      </c>
      <c r="L71" s="3121"/>
      <c r="M71" s="920"/>
      <c r="N71" s="921"/>
      <c r="O71" s="921"/>
      <c r="P71" s="922"/>
      <c r="Q71" s="3121">
        <f>'3.XT-C KH'!Q76</f>
        <v>0</v>
      </c>
      <c r="R71" s="3121"/>
      <c r="S71" s="3121">
        <f>'3.XT-C KH'!S76:T76</f>
        <v>0</v>
      </c>
      <c r="T71" s="3121"/>
      <c r="U71" s="920"/>
      <c r="V71" s="921"/>
      <c r="W71" s="921"/>
      <c r="X71" s="922"/>
      <c r="Y71" s="3121">
        <f>'3.XT-C KH'!Y76</f>
        <v>0</v>
      </c>
      <c r="Z71" s="3121"/>
      <c r="AA71" s="3121">
        <f>'3.XT-C KH'!AA76</f>
        <v>0</v>
      </c>
      <c r="AB71" s="3121"/>
      <c r="AC71" s="920"/>
      <c r="AD71" s="921"/>
      <c r="AE71" s="921"/>
      <c r="AF71" s="922"/>
      <c r="AG71" s="1569"/>
    </row>
    <row r="72" spans="1:38" ht="45.75" customHeight="1">
      <c r="A72" s="1568">
        <v>4</v>
      </c>
      <c r="B72" s="3310" t="s">
        <v>956</v>
      </c>
      <c r="C72" s="3311"/>
      <c r="D72" s="3311"/>
      <c r="E72" s="3312"/>
      <c r="F72" s="976" t="s">
        <v>953</v>
      </c>
      <c r="G72" s="897" t="str">
        <f>'XM.FILE GOC'!$E$108</f>
        <v>50~70</v>
      </c>
      <c r="H72" s="2202" t="str">
        <f>'XM.FILE GOC'!$F$108</f>
        <v>(60±5)</v>
      </c>
      <c r="I72" s="3195">
        <f>'3.XT-C KH'!I77</f>
        <v>0</v>
      </c>
      <c r="J72" s="3121"/>
      <c r="K72" s="3121">
        <f>'3.XT-C KH'!K77</f>
        <v>0</v>
      </c>
      <c r="L72" s="3121"/>
      <c r="M72" s="920"/>
      <c r="N72" s="921"/>
      <c r="O72" s="921"/>
      <c r="P72" s="922"/>
      <c r="Q72" s="3121">
        <f>'3.XT-C KH'!Q77</f>
        <v>0</v>
      </c>
      <c r="R72" s="3121"/>
      <c r="S72" s="3121">
        <f>'3.XT-C KH'!S77:T77</f>
        <v>0</v>
      </c>
      <c r="T72" s="3121"/>
      <c r="U72" s="920"/>
      <c r="V72" s="921"/>
      <c r="W72" s="921"/>
      <c r="X72" s="922"/>
      <c r="Y72" s="3121">
        <f>'3.XT-C KH'!Y77</f>
        <v>0</v>
      </c>
      <c r="Z72" s="3121"/>
      <c r="AA72" s="3121">
        <f>'3.XT-C KH'!AA77</f>
        <v>0</v>
      </c>
      <c r="AB72" s="3121"/>
      <c r="AC72" s="920"/>
      <c r="AD72" s="921"/>
      <c r="AE72" s="921"/>
      <c r="AF72" s="922"/>
      <c r="AG72" s="1569"/>
    </row>
    <row r="73" spans="1:38" ht="45.75" customHeight="1">
      <c r="A73" s="1568">
        <v>5</v>
      </c>
      <c r="B73" s="3948" t="s">
        <v>957</v>
      </c>
      <c r="C73" s="3949"/>
      <c r="D73" s="3949"/>
      <c r="E73" s="3950"/>
      <c r="F73" s="1576" t="s">
        <v>953</v>
      </c>
      <c r="G73" s="1577" t="str">
        <f>'XM.FILE GOC'!$E$109</f>
        <v>22~28</v>
      </c>
      <c r="H73" s="2216" t="str">
        <f>'XM.FILE GOC'!$F$109</f>
        <v>(25±3)</v>
      </c>
      <c r="I73" s="3927">
        <f>'3.XT-C KH'!I78</f>
        <v>0</v>
      </c>
      <c r="J73" s="3928"/>
      <c r="K73" s="3928">
        <f>'3.XT-C KH'!K78</f>
        <v>0</v>
      </c>
      <c r="L73" s="3928"/>
      <c r="M73" s="920"/>
      <c r="N73" s="921"/>
      <c r="O73" s="921"/>
      <c r="P73" s="922"/>
      <c r="Q73" s="3928">
        <f>'3.XT-C KH'!Q78</f>
        <v>0</v>
      </c>
      <c r="R73" s="3928"/>
      <c r="S73" s="3928">
        <f>'3.XT-C KH'!S78:T78</f>
        <v>0</v>
      </c>
      <c r="T73" s="3928"/>
      <c r="U73" s="920"/>
      <c r="V73" s="921"/>
      <c r="W73" s="921"/>
      <c r="X73" s="922"/>
      <c r="Y73" s="3928">
        <f>'3.XT-C KH'!Y78</f>
        <v>0</v>
      </c>
      <c r="Z73" s="3928"/>
      <c r="AA73" s="3928">
        <f>'3.XT-C KH'!AA78</f>
        <v>0</v>
      </c>
      <c r="AB73" s="3928"/>
      <c r="AC73" s="920"/>
      <c r="AD73" s="921"/>
      <c r="AE73" s="921"/>
      <c r="AF73" s="922"/>
      <c r="AG73" s="1569"/>
    </row>
    <row r="74" spans="1:38" ht="45.75" customHeight="1">
      <c r="A74" s="1575">
        <v>6</v>
      </c>
      <c r="B74" s="3953" t="s">
        <v>958</v>
      </c>
      <c r="C74" s="3954"/>
      <c r="D74" s="3954"/>
      <c r="E74" s="3955"/>
      <c r="F74" s="2311" t="s">
        <v>953</v>
      </c>
      <c r="G74" s="2312" t="s">
        <v>1337</v>
      </c>
      <c r="H74" s="2313" t="s">
        <v>1434</v>
      </c>
      <c r="I74" s="3956"/>
      <c r="J74" s="3957"/>
      <c r="K74" s="3951"/>
      <c r="L74" s="3957"/>
      <c r="M74" s="2314"/>
      <c r="N74" s="2315"/>
      <c r="O74" s="2315"/>
      <c r="P74" s="2316"/>
      <c r="Q74" s="3951"/>
      <c r="R74" s="3957"/>
      <c r="S74" s="3951"/>
      <c r="T74" s="3957"/>
      <c r="U74" s="2314"/>
      <c r="V74" s="2315"/>
      <c r="W74" s="2315"/>
      <c r="X74" s="2316"/>
      <c r="Y74" s="3951"/>
      <c r="Z74" s="3957"/>
      <c r="AA74" s="3951"/>
      <c r="AB74" s="3952"/>
      <c r="AC74" s="921"/>
      <c r="AD74" s="921"/>
      <c r="AE74" s="921"/>
      <c r="AF74" s="922"/>
      <c r="AG74" s="1569"/>
      <c r="AH74" s="944"/>
      <c r="AI74" s="1571"/>
      <c r="AJ74" s="944"/>
      <c r="AK74" s="944"/>
      <c r="AL74" s="944"/>
    </row>
    <row r="75" spans="1:38" ht="45.75" customHeight="1">
      <c r="A75" s="1568">
        <v>7</v>
      </c>
      <c r="B75" s="3320" t="s">
        <v>959</v>
      </c>
      <c r="C75" s="3321"/>
      <c r="D75" s="3321"/>
      <c r="E75" s="3322"/>
      <c r="F75" s="1578" t="s">
        <v>953</v>
      </c>
      <c r="G75" s="1579" t="str">
        <f>'XM.FILE GOC'!$E$111</f>
        <v>55~65</v>
      </c>
      <c r="H75" s="2218" t="str">
        <f>'XM.FILE GOC'!$F$111</f>
        <v>(60±5)</v>
      </c>
      <c r="I75" s="3323">
        <f>'3.XT-C KH'!I80</f>
        <v>0</v>
      </c>
      <c r="J75" s="3324"/>
      <c r="K75" s="3324">
        <f>'3.XT-C KH'!K80</f>
        <v>0</v>
      </c>
      <c r="L75" s="3324"/>
      <c r="M75" s="920"/>
      <c r="N75" s="921"/>
      <c r="O75" s="921"/>
      <c r="P75" s="922"/>
      <c r="Q75" s="3324">
        <f>'3.XT-C KH'!Q80</f>
        <v>0</v>
      </c>
      <c r="R75" s="3324"/>
      <c r="S75" s="3324">
        <f>'3.XT-C KH'!S80</f>
        <v>0</v>
      </c>
      <c r="T75" s="3324"/>
      <c r="U75" s="920"/>
      <c r="V75" s="921"/>
      <c r="W75" s="921"/>
      <c r="X75" s="922"/>
      <c r="Y75" s="3324">
        <f>'3.XT-C KH'!Y80</f>
        <v>0</v>
      </c>
      <c r="Z75" s="3324"/>
      <c r="AA75" s="3324">
        <f>'3.XT-C KH'!AA80</f>
        <v>0</v>
      </c>
      <c r="AB75" s="3324"/>
      <c r="AC75" s="920"/>
      <c r="AD75" s="921"/>
      <c r="AE75" s="921"/>
      <c r="AF75" s="922"/>
      <c r="AG75" s="1569"/>
    </row>
    <row r="76" spans="1:38" ht="45.75" customHeight="1">
      <c r="A76" s="1568">
        <v>8</v>
      </c>
      <c r="B76" s="3310" t="s">
        <v>960</v>
      </c>
      <c r="C76" s="3311"/>
      <c r="D76" s="3311"/>
      <c r="E76" s="3312"/>
      <c r="F76" s="976" t="s">
        <v>953</v>
      </c>
      <c r="G76" s="897" t="str">
        <f>'XM.FILE GOC'!$E$112</f>
        <v>80~100</v>
      </c>
      <c r="H76" s="2202" t="str">
        <f>'XM.FILE GOC'!$F$112</f>
        <v>(90±5)</v>
      </c>
      <c r="I76" s="3228" t="str">
        <f>'3.XT-C KH'!I81</f>
        <v>\</v>
      </c>
      <c r="J76" s="3284"/>
      <c r="K76" s="3121">
        <f>'3.XT-C KH'!K81</f>
        <v>0</v>
      </c>
      <c r="L76" s="3121"/>
      <c r="M76" s="920"/>
      <c r="N76" s="921"/>
      <c r="O76" s="921"/>
      <c r="P76" s="922"/>
      <c r="Q76" s="3284" t="str">
        <f>'3.XT-C KH'!Q81</f>
        <v>\</v>
      </c>
      <c r="R76" s="3284"/>
      <c r="S76" s="3121">
        <f>'3.XT-C KH'!S81</f>
        <v>0</v>
      </c>
      <c r="T76" s="3121"/>
      <c r="U76" s="920"/>
      <c r="V76" s="921"/>
      <c r="W76" s="921"/>
      <c r="X76" s="922"/>
      <c r="Y76" s="3284" t="str">
        <f>'3.XT-C KH'!Y81</f>
        <v>\</v>
      </c>
      <c r="Z76" s="3284"/>
      <c r="AA76" s="3121">
        <f>'3.XT-C KH'!AA81</f>
        <v>0</v>
      </c>
      <c r="AB76" s="3121"/>
      <c r="AC76" s="920"/>
      <c r="AD76" s="921"/>
      <c r="AE76" s="921"/>
      <c r="AF76" s="922"/>
      <c r="AG76" s="1569"/>
    </row>
    <row r="77" spans="1:38" ht="45.75" customHeight="1">
      <c r="A77" s="1568">
        <v>9</v>
      </c>
      <c r="B77" s="3325" t="s">
        <v>1275</v>
      </c>
      <c r="C77" s="3326"/>
      <c r="D77" s="3326"/>
      <c r="E77" s="3327"/>
      <c r="F77" s="976" t="s">
        <v>953</v>
      </c>
      <c r="G77" s="897" t="str">
        <f>'XM.FILE GOC'!$E$113</f>
        <v>40~60</v>
      </c>
      <c r="H77" s="2202" t="str">
        <f>'XM.FILE GOC'!$F$113</f>
        <v>(50±10)</v>
      </c>
      <c r="I77" s="3276">
        <f>'3.XT-C KH'!I82</f>
        <v>0</v>
      </c>
      <c r="J77" s="3277"/>
      <c r="K77" s="3277">
        <f>'3.XT-C KH'!K82</f>
        <v>0</v>
      </c>
      <c r="L77" s="3277"/>
      <c r="M77" s="920"/>
      <c r="N77" s="921"/>
      <c r="O77" s="921"/>
      <c r="P77" s="922"/>
      <c r="Q77" s="3277">
        <f>'3.XT-C KH'!Q82</f>
        <v>0</v>
      </c>
      <c r="R77" s="3277"/>
      <c r="S77" s="3277">
        <f>'3.XT-C KH'!S82</f>
        <v>0</v>
      </c>
      <c r="T77" s="3277"/>
      <c r="U77" s="920"/>
      <c r="V77" s="921"/>
      <c r="W77" s="921"/>
      <c r="X77" s="922"/>
      <c r="Y77" s="3277">
        <f>'3.XT-C KH'!Y82</f>
        <v>0</v>
      </c>
      <c r="Z77" s="3277"/>
      <c r="AA77" s="3277">
        <f>'3.XT-C KH'!AA82</f>
        <v>0</v>
      </c>
      <c r="AB77" s="3277"/>
      <c r="AC77" s="920"/>
      <c r="AD77" s="921"/>
      <c r="AE77" s="921"/>
      <c r="AF77" s="922"/>
      <c r="AG77" s="895"/>
    </row>
    <row r="78" spans="1:38" ht="45.75" customHeight="1">
      <c r="A78" s="1568">
        <v>10</v>
      </c>
      <c r="B78" s="3325" t="s">
        <v>1277</v>
      </c>
      <c r="C78" s="3326"/>
      <c r="D78" s="3326"/>
      <c r="E78" s="3327"/>
      <c r="F78" s="976" t="s">
        <v>953</v>
      </c>
      <c r="G78" s="897" t="str">
        <f>'XM.FILE GOC'!$E$114</f>
        <v>50~70</v>
      </c>
      <c r="H78" s="2202" t="str">
        <f>'XM.FILE GOC'!$F$114</f>
        <v>(60±10)</v>
      </c>
      <c r="I78" s="3276">
        <f>'3.XT-C KH'!I83</f>
        <v>0</v>
      </c>
      <c r="J78" s="3277"/>
      <c r="K78" s="3277">
        <f>'3.XT-C KH'!K83</f>
        <v>0</v>
      </c>
      <c r="L78" s="3277"/>
      <c r="M78" s="920"/>
      <c r="N78" s="921"/>
      <c r="O78" s="921"/>
      <c r="P78" s="922"/>
      <c r="Q78" s="3277">
        <f>'3.XT-C KH'!Q83</f>
        <v>0</v>
      </c>
      <c r="R78" s="3277"/>
      <c r="S78" s="3277">
        <f>'3.XT-C KH'!S83</f>
        <v>0</v>
      </c>
      <c r="T78" s="3277"/>
      <c r="U78" s="920"/>
      <c r="V78" s="921"/>
      <c r="W78" s="921"/>
      <c r="X78" s="922"/>
      <c r="Y78" s="3277">
        <f>'3.XT-C KH'!Y83</f>
        <v>0</v>
      </c>
      <c r="Z78" s="3277"/>
      <c r="AA78" s="3277">
        <f>'3.XT-C KH'!AA83</f>
        <v>0</v>
      </c>
      <c r="AB78" s="3277"/>
      <c r="AC78" s="920"/>
      <c r="AD78" s="921"/>
      <c r="AE78" s="921"/>
      <c r="AF78" s="922"/>
      <c r="AG78" s="895"/>
    </row>
    <row r="79" spans="1:38" ht="49.5" hidden="1" customHeight="1">
      <c r="A79" s="2243"/>
      <c r="B79" s="2246"/>
      <c r="C79" s="2247"/>
      <c r="D79" s="2247"/>
      <c r="E79" s="2247"/>
      <c r="F79" s="2254"/>
      <c r="G79" s="2253"/>
      <c r="H79" s="2253"/>
      <c r="I79" s="2250"/>
      <c r="J79" s="2250"/>
      <c r="K79" s="2250"/>
      <c r="L79" s="2250"/>
      <c r="M79" s="921"/>
      <c r="N79" s="921"/>
      <c r="O79" s="921"/>
      <c r="P79" s="921"/>
      <c r="Q79" s="2250"/>
      <c r="R79" s="2250"/>
      <c r="S79" s="2250"/>
      <c r="T79" s="2250"/>
      <c r="U79" s="921"/>
      <c r="V79" s="921"/>
      <c r="W79" s="921"/>
      <c r="X79" s="921"/>
      <c r="Y79" s="2250"/>
      <c r="Z79" s="2250"/>
      <c r="AA79" s="2250"/>
      <c r="AB79" s="2250"/>
      <c r="AC79" s="921"/>
      <c r="AD79" s="921"/>
      <c r="AE79" s="921"/>
      <c r="AF79" s="921"/>
      <c r="AG79" s="895"/>
    </row>
    <row r="80" spans="1:38" ht="46.5" customHeight="1">
      <c r="A80" s="1568"/>
      <c r="B80" s="3958" t="s">
        <v>1297</v>
      </c>
      <c r="C80" s="3960"/>
      <c r="D80" s="3960"/>
      <c r="E80" s="3960"/>
      <c r="F80" s="3960"/>
      <c r="G80" s="3960"/>
      <c r="H80" s="3960"/>
      <c r="I80" s="3960"/>
      <c r="J80" s="3960"/>
      <c r="K80" s="3960"/>
      <c r="L80" s="3960"/>
      <c r="M80" s="3960"/>
      <c r="N80" s="3960"/>
      <c r="O80" s="3960"/>
      <c r="P80" s="3960"/>
      <c r="Q80" s="3960"/>
      <c r="R80" s="3960"/>
      <c r="S80" s="3960"/>
      <c r="T80" s="3960"/>
      <c r="U80" s="3960"/>
      <c r="V80" s="3960"/>
      <c r="W80" s="3960"/>
      <c r="X80" s="3960"/>
      <c r="Y80" s="3960"/>
      <c r="Z80" s="3960"/>
      <c r="AA80" s="3960"/>
      <c r="AB80" s="3960"/>
      <c r="AC80" s="3960"/>
      <c r="AD80" s="3960"/>
      <c r="AE80" s="3960"/>
      <c r="AF80" s="3960"/>
      <c r="AG80" s="3961"/>
    </row>
    <row r="81" spans="1:33" ht="57" customHeight="1">
      <c r="A81" s="1568" t="s">
        <v>7</v>
      </c>
      <c r="B81" s="3310" t="s">
        <v>961</v>
      </c>
      <c r="C81" s="3311"/>
      <c r="D81" s="3311"/>
      <c r="E81" s="3312"/>
      <c r="F81" s="975" t="s">
        <v>734</v>
      </c>
      <c r="G81" s="975" t="s">
        <v>1296</v>
      </c>
      <c r="H81" s="2204" t="s">
        <v>1289</v>
      </c>
      <c r="I81" s="3227" t="s">
        <v>962</v>
      </c>
      <c r="J81" s="3227"/>
      <c r="K81" s="3227"/>
      <c r="L81" s="3228"/>
      <c r="M81" s="917"/>
      <c r="N81" s="918"/>
      <c r="O81" s="918"/>
      <c r="P81" s="919"/>
      <c r="Q81" s="3229" t="s">
        <v>962</v>
      </c>
      <c r="R81" s="3227"/>
      <c r="S81" s="3227"/>
      <c r="T81" s="3228"/>
      <c r="U81" s="917"/>
      <c r="V81" s="918"/>
      <c r="W81" s="918"/>
      <c r="X81" s="919"/>
      <c r="Y81" s="3229" t="s">
        <v>962</v>
      </c>
      <c r="Z81" s="3227"/>
      <c r="AA81" s="3227"/>
      <c r="AB81" s="3228"/>
      <c r="AC81" s="917"/>
      <c r="AD81" s="918"/>
      <c r="AE81" s="918"/>
      <c r="AF81" s="919"/>
      <c r="AG81" s="10"/>
    </row>
    <row r="82" spans="1:33" ht="52.5" customHeight="1">
      <c r="A82" s="1568">
        <v>1</v>
      </c>
      <c r="B82" s="3264" t="s">
        <v>1571</v>
      </c>
      <c r="C82" s="3265"/>
      <c r="D82" s="3265"/>
      <c r="E82" s="3266"/>
      <c r="F82" s="632" t="s">
        <v>47</v>
      </c>
      <c r="G82" s="897" t="str">
        <f>'XM.FILE GOC'!$E$120</f>
        <v>30~50 
(40)</v>
      </c>
      <c r="H82" s="2202" t="str">
        <f>'XM.FILE GOC'!$F$120</f>
        <v>30~50 
(40)</v>
      </c>
      <c r="I82" s="3099">
        <f>'3.XT-C KH'!I88:L88</f>
        <v>0</v>
      </c>
      <c r="J82" s="3099"/>
      <c r="K82" s="3099"/>
      <c r="L82" s="3100"/>
      <c r="M82" s="1302"/>
      <c r="N82" s="1303"/>
      <c r="O82" s="1303"/>
      <c r="P82" s="1304"/>
      <c r="Q82" s="3098">
        <f>'3.XT-C KH'!Q88:T88</f>
        <v>0</v>
      </c>
      <c r="R82" s="3099"/>
      <c r="S82" s="3099"/>
      <c r="T82" s="3099"/>
      <c r="U82" s="1302"/>
      <c r="V82" s="1303"/>
      <c r="W82" s="1303"/>
      <c r="X82" s="1304"/>
      <c r="Y82" s="3098">
        <f>'3.XT-C KH'!Y88:AB88</f>
        <v>0</v>
      </c>
      <c r="Z82" s="3099"/>
      <c r="AA82" s="3099"/>
      <c r="AB82" s="3100"/>
      <c r="AC82" s="926"/>
      <c r="AD82" s="904"/>
      <c r="AE82" s="904"/>
      <c r="AF82" s="927"/>
      <c r="AG82" s="1569"/>
    </row>
    <row r="83" spans="1:33" ht="52.5" customHeight="1">
      <c r="A83" s="1568">
        <v>2</v>
      </c>
      <c r="B83" s="3264" t="s">
        <v>1570</v>
      </c>
      <c r="C83" s="3265"/>
      <c r="D83" s="3265"/>
      <c r="E83" s="3266"/>
      <c r="F83" s="632" t="s">
        <v>47</v>
      </c>
      <c r="G83" s="897" t="str">
        <f>'XM.FILE GOC'!$E$121</f>
        <v>160~220
(180)</v>
      </c>
      <c r="H83" s="2202" t="str">
        <f>'XM.FILE GOC'!$F$121</f>
        <v>160~220
(180)</v>
      </c>
      <c r="I83" s="3099">
        <f>'3.XT-C KH'!I89:L89</f>
        <v>0</v>
      </c>
      <c r="J83" s="3099"/>
      <c r="K83" s="3099"/>
      <c r="L83" s="3099"/>
      <c r="M83" s="1299"/>
      <c r="N83" s="1300"/>
      <c r="O83" s="1300"/>
      <c r="P83" s="1301"/>
      <c r="Q83" s="3098">
        <f>'3.XT-C KH'!Q89:T89</f>
        <v>0</v>
      </c>
      <c r="R83" s="3099"/>
      <c r="S83" s="3099"/>
      <c r="T83" s="3099"/>
      <c r="U83" s="1299"/>
      <c r="V83" s="1300"/>
      <c r="W83" s="1300"/>
      <c r="X83" s="1301"/>
      <c r="Y83" s="3098">
        <f>'3.XT-C KH'!Y89:AB89</f>
        <v>0</v>
      </c>
      <c r="Z83" s="3099"/>
      <c r="AA83" s="3099"/>
      <c r="AB83" s="3100"/>
      <c r="AC83" s="928"/>
      <c r="AD83" s="929"/>
      <c r="AE83" s="929"/>
      <c r="AF83" s="930"/>
      <c r="AG83" s="1569"/>
    </row>
  </sheetData>
  <sheetProtection selectLockedCells="1"/>
  <mergeCells count="304">
    <mergeCell ref="B82:E82"/>
    <mergeCell ref="I82:L82"/>
    <mergeCell ref="Q82:T82"/>
    <mergeCell ref="Y82:AB82"/>
    <mergeCell ref="B83:E83"/>
    <mergeCell ref="I83:L83"/>
    <mergeCell ref="Q83:T83"/>
    <mergeCell ref="Y83:AB83"/>
    <mergeCell ref="AA78:AB78"/>
    <mergeCell ref="B80:AG80"/>
    <mergeCell ref="B81:E81"/>
    <mergeCell ref="I81:L81"/>
    <mergeCell ref="Q81:T81"/>
    <mergeCell ref="Y81:AB81"/>
    <mergeCell ref="B78:E78"/>
    <mergeCell ref="I78:J78"/>
    <mergeCell ref="K78:L78"/>
    <mergeCell ref="Q78:R78"/>
    <mergeCell ref="S78:T78"/>
    <mergeCell ref="Y78:Z78"/>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B69:E69"/>
    <mergeCell ref="I69:J69"/>
    <mergeCell ref="K69:L69"/>
    <mergeCell ref="Q69:R69"/>
    <mergeCell ref="S69:T69"/>
    <mergeCell ref="Y69:Z69"/>
    <mergeCell ref="AA69:AB69"/>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B61:E61"/>
    <mergeCell ref="B63:E63"/>
    <mergeCell ref="B64:E64"/>
    <mergeCell ref="B67:AG67"/>
    <mergeCell ref="B68:E68"/>
    <mergeCell ref="I68:J68"/>
    <mergeCell ref="K68:L68"/>
    <mergeCell ref="Q68:R68"/>
    <mergeCell ref="S68:T68"/>
    <mergeCell ref="Y68:Z68"/>
    <mergeCell ref="AA68:AB68"/>
    <mergeCell ref="B65:E66"/>
    <mergeCell ref="A58:A59"/>
    <mergeCell ref="B58:D59"/>
    <mergeCell ref="E58:E59"/>
    <mergeCell ref="A52:A53"/>
    <mergeCell ref="B52:C53"/>
    <mergeCell ref="D52:E52"/>
    <mergeCell ref="D53:E53"/>
    <mergeCell ref="A54:A55"/>
    <mergeCell ref="B54:C55"/>
    <mergeCell ref="D54:E54"/>
    <mergeCell ref="D55:E55"/>
    <mergeCell ref="F46:F47"/>
    <mergeCell ref="G46:G47"/>
    <mergeCell ref="H46:H47"/>
    <mergeCell ref="I46:L46"/>
    <mergeCell ref="J47:L47"/>
    <mergeCell ref="A56:A57"/>
    <mergeCell ref="B56:B57"/>
    <mergeCell ref="C56:E56"/>
    <mergeCell ref="C57:E57"/>
    <mergeCell ref="A48:A49"/>
    <mergeCell ref="B48:C49"/>
    <mergeCell ref="D48:E48"/>
    <mergeCell ref="D49:E49"/>
    <mergeCell ref="A50:A51"/>
    <mergeCell ref="B50:C51"/>
    <mergeCell ref="D50:E50"/>
    <mergeCell ref="D51:E51"/>
    <mergeCell ref="A46:A47"/>
    <mergeCell ref="B46:E47"/>
    <mergeCell ref="M46:P46"/>
    <mergeCell ref="Q46:T46"/>
    <mergeCell ref="U46:X46"/>
    <mergeCell ref="Y46:AB46"/>
    <mergeCell ref="AC46:AF46"/>
    <mergeCell ref="AG46:AG47"/>
    <mergeCell ref="N47:P47"/>
    <mergeCell ref="R47:T47"/>
    <mergeCell ref="V47:X47"/>
    <mergeCell ref="Z47:AB47"/>
    <mergeCell ref="AD47:AF47"/>
    <mergeCell ref="A43:Z43"/>
    <mergeCell ref="A44:Z44"/>
    <mergeCell ref="AA44:AB44"/>
    <mergeCell ref="AD44:AE44"/>
    <mergeCell ref="AF44:AG44"/>
    <mergeCell ref="AA45:AB45"/>
    <mergeCell ref="AD45:AE45"/>
    <mergeCell ref="AF45:AG45"/>
    <mergeCell ref="B40:E40"/>
    <mergeCell ref="I40:L40"/>
    <mergeCell ref="Q40:T40"/>
    <mergeCell ref="Y40:AB40"/>
    <mergeCell ref="B41:E41"/>
    <mergeCell ref="I41:L41"/>
    <mergeCell ref="Q41:T41"/>
    <mergeCell ref="Y41:AB41"/>
    <mergeCell ref="I45:L45"/>
    <mergeCell ref="AA36:AB36"/>
    <mergeCell ref="B38:AG38"/>
    <mergeCell ref="B39:E39"/>
    <mergeCell ref="I39:L39"/>
    <mergeCell ref="Q39:T39"/>
    <mergeCell ref="Y39:AB39"/>
    <mergeCell ref="B36:E36"/>
    <mergeCell ref="I36:J36"/>
    <mergeCell ref="K36:L36"/>
    <mergeCell ref="Q36:R36"/>
    <mergeCell ref="S36:T36"/>
    <mergeCell ref="Y36:Z36"/>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Q27:R27"/>
    <mergeCell ref="S27:T27"/>
    <mergeCell ref="Y27:Z27"/>
    <mergeCell ref="AA27:AB27"/>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16:A17"/>
    <mergeCell ref="B16:D17"/>
    <mergeCell ref="E16:E17"/>
    <mergeCell ref="A10:A11"/>
    <mergeCell ref="B10:C11"/>
    <mergeCell ref="D10:E10"/>
    <mergeCell ref="D11:E11"/>
    <mergeCell ref="A12:A13"/>
    <mergeCell ref="B12:C13"/>
    <mergeCell ref="D12:E12"/>
    <mergeCell ref="D13:E13"/>
    <mergeCell ref="A8:A9"/>
    <mergeCell ref="B8:C9"/>
    <mergeCell ref="D8:E8"/>
    <mergeCell ref="D9:E9"/>
    <mergeCell ref="A4:A5"/>
    <mergeCell ref="B4:E5"/>
    <mergeCell ref="A14:A15"/>
    <mergeCell ref="B14:B15"/>
    <mergeCell ref="C14:E14"/>
    <mergeCell ref="C15:E15"/>
    <mergeCell ref="F4:F5"/>
    <mergeCell ref="G4:G5"/>
    <mergeCell ref="H4:H5"/>
    <mergeCell ref="I4:L4"/>
    <mergeCell ref="J5:L5"/>
    <mergeCell ref="I3:L3"/>
    <mergeCell ref="A6:A7"/>
    <mergeCell ref="B6:C7"/>
    <mergeCell ref="D6:E6"/>
    <mergeCell ref="D7:E7"/>
    <mergeCell ref="BA35:BB35"/>
    <mergeCell ref="AI36:AJ36"/>
    <mergeCell ref="AK36:AL36"/>
    <mergeCell ref="AQ36:AR36"/>
    <mergeCell ref="AS36:AT36"/>
    <mergeCell ref="AY36:AZ36"/>
    <mergeCell ref="BA36:BB36"/>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B60:E60"/>
    <mergeCell ref="B62:E62"/>
    <mergeCell ref="B18:E18"/>
    <mergeCell ref="B20:E20"/>
    <mergeCell ref="AI35:AJ35"/>
    <mergeCell ref="AK35:AL35"/>
    <mergeCell ref="AQ35:AR35"/>
    <mergeCell ref="AS35:AT35"/>
    <mergeCell ref="AY35:AZ35"/>
    <mergeCell ref="B19:E19"/>
    <mergeCell ref="B21:E21"/>
    <mergeCell ref="B22:E22"/>
    <mergeCell ref="B25:AG25"/>
    <mergeCell ref="B26:E26"/>
    <mergeCell ref="I26:J26"/>
    <mergeCell ref="K26:L26"/>
    <mergeCell ref="Q26:R26"/>
    <mergeCell ref="S26:T26"/>
    <mergeCell ref="Y26:Z26"/>
    <mergeCell ref="AA26:AB26"/>
    <mergeCell ref="B23:E24"/>
    <mergeCell ref="B27:E27"/>
    <mergeCell ref="I27:J27"/>
    <mergeCell ref="K27:L27"/>
  </mergeCells>
  <conditionalFormatting sqref="I40 Y40 Q40">
    <cfRule type="expression" dxfId="186" priority="879">
      <formula>I40&lt;30</formula>
    </cfRule>
    <cfRule type="expression" dxfId="185" priority="880">
      <formula>I40&gt;50</formula>
    </cfRule>
  </conditionalFormatting>
  <conditionalFormatting sqref="I41 Y41 Q41">
    <cfRule type="expression" dxfId="184" priority="877">
      <formula>I41&lt;160</formula>
    </cfRule>
    <cfRule type="expression" dxfId="183" priority="878">
      <formula>I41&gt;220</formula>
    </cfRule>
  </conditionalFormatting>
  <conditionalFormatting sqref="I82 Y82 Q82">
    <cfRule type="expression" dxfId="182" priority="875">
      <formula>I82&lt;30</formula>
    </cfRule>
    <cfRule type="expression" dxfId="181" priority="876">
      <formula>I82&gt;50</formula>
    </cfRule>
  </conditionalFormatting>
  <conditionalFormatting sqref="I83 Y83 Q83">
    <cfRule type="expression" dxfId="180" priority="873">
      <formula>I83&lt;160</formula>
    </cfRule>
    <cfRule type="expression" dxfId="179" priority="874">
      <formula>I83&gt;220</formula>
    </cfRule>
  </conditionalFormatting>
  <conditionalFormatting sqref="AK36:AK37 AS36:AS37 BA36:BA37">
    <cfRule type="cellIs" dxfId="178" priority="633" operator="between">
      <formula>65</formula>
      <formula>66.9</formula>
    </cfRule>
    <cfRule type="cellIs" dxfId="177" priority="634" operator="between">
      <formula>73.1</formula>
      <formula>75</formula>
    </cfRule>
    <cfRule type="expression" dxfId="176" priority="635">
      <formula>AK36&lt;65</formula>
    </cfRule>
    <cfRule type="expression" dxfId="175" priority="636">
      <formula>AK36&gt;75</formula>
    </cfRule>
  </conditionalFormatting>
  <conditionalFormatting sqref="AI36:AI37 AK36:AK37 AQ36:AQ37 AS36:AS37 AY36:AY37 BA36:BA37">
    <cfRule type="expression" dxfId="174" priority="623">
      <formula>AI36&lt;40</formula>
    </cfRule>
    <cfRule type="expression" dxfId="173" priority="624">
      <formula>AI36&gt;60</formula>
    </cfRule>
  </conditionalFormatting>
  <conditionalFormatting sqref="AI35 AK35 AQ35 AS35 AY35 BA35">
    <cfRule type="expression" dxfId="172" priority="611">
      <formula>AI35&lt;50</formula>
    </cfRule>
    <cfRule type="expression" dxfId="171" priority="612">
      <formula>AI35&gt;70</formula>
    </cfRule>
  </conditionalFormatting>
  <conditionalFormatting sqref="AQ35:AT35 AY35:BB35 AH35:AL35">
    <cfRule type="cellIs" dxfId="170" priority="609" operator="between">
      <formula>50</formula>
      <formula>54.9</formula>
    </cfRule>
    <cfRule type="cellIs" dxfId="169" priority="610" operator="between">
      <formula>65.1</formula>
      <formula>70</formula>
    </cfRule>
  </conditionalFormatting>
  <conditionalFormatting sqref="I14 Q14 Y14 I56 Q56 Y56">
    <cfRule type="expression" dxfId="168" priority="402" stopIfTrue="1">
      <formula>I14&lt;135</formula>
    </cfRule>
  </conditionalFormatting>
  <conditionalFormatting sqref="I14 Q14 Y14 I56 Q56 Y56">
    <cfRule type="expression" dxfId="167" priority="401" stopIfTrue="1">
      <formula>I14&gt;145</formula>
    </cfRule>
  </conditionalFormatting>
  <conditionalFormatting sqref="I10 I12 Q10 Q12 Y10 Y12 I52 I54 Q52 Q54 Y52 Y54">
    <cfRule type="cellIs" dxfId="166" priority="392" operator="between">
      <formula>50</formula>
      <formula>54.99</formula>
    </cfRule>
    <cfRule type="cellIs" dxfId="165" priority="393" operator="between">
      <formula>65.01</formula>
      <formula>70</formula>
    </cfRule>
    <cfRule type="expression" dxfId="164" priority="394">
      <formula>I10&lt;50</formula>
    </cfRule>
    <cfRule type="expression" dxfId="163" priority="395">
      <formula>I10&gt;70</formula>
    </cfRule>
  </conditionalFormatting>
  <conditionalFormatting sqref="I6 I8 Q6 Q8 Y6 Y8 I48 I50 Q48 Q50 Y48 Y50">
    <cfRule type="cellIs" dxfId="162" priority="388" operator="between">
      <formula>40</formula>
      <formula>44.99</formula>
    </cfRule>
    <cfRule type="cellIs" dxfId="161" priority="389" operator="between">
      <formula>55.1</formula>
      <formula>60</formula>
    </cfRule>
    <cfRule type="expression" dxfId="160" priority="390">
      <formula>I6&lt;40</formula>
    </cfRule>
    <cfRule type="expression" dxfId="159" priority="391">
      <formula>I6&gt;60</formula>
    </cfRule>
  </conditionalFormatting>
  <conditionalFormatting sqref="I22 Q22 Y22">
    <cfRule type="expression" dxfId="158" priority="384">
      <formula>I22&lt;0.6%</formula>
    </cfRule>
    <cfRule type="expression" dxfId="157" priority="385">
      <formula>I22&gt;1.4%</formula>
    </cfRule>
  </conditionalFormatting>
  <conditionalFormatting sqref="I15 Q15 Y15 I57 Q57 Y57">
    <cfRule type="cellIs" dxfId="156" priority="380" operator="between">
      <formula>7</formula>
      <formula>7.499</formula>
    </cfRule>
    <cfRule type="cellIs" dxfId="155" priority="381" operator="between">
      <formula>9.51</formula>
      <formula>10</formula>
    </cfRule>
    <cfRule type="expression" dxfId="154" priority="382">
      <formula>I15&lt;7</formula>
    </cfRule>
    <cfRule type="expression" dxfId="153" priority="383">
      <formula>I15&gt;10</formula>
    </cfRule>
  </conditionalFormatting>
  <conditionalFormatting sqref="I64:I66">
    <cfRule type="expression" dxfId="152" priority="303">
      <formula>I64&lt;0.6%</formula>
    </cfRule>
    <cfRule type="expression" dxfId="151" priority="304">
      <formula>I64&gt;1.4%</formula>
    </cfRule>
  </conditionalFormatting>
  <conditionalFormatting sqref="Q64:Q66">
    <cfRule type="expression" dxfId="150" priority="276">
      <formula>Q64&lt;0.6%</formula>
    </cfRule>
    <cfRule type="expression" dxfId="149" priority="277">
      <formula>Q64&gt;1.4%</formula>
    </cfRule>
  </conditionalFormatting>
  <conditionalFormatting sqref="Y64:Y66">
    <cfRule type="expression" dxfId="148" priority="249">
      <formula>Y64&lt;0.6%</formula>
    </cfRule>
    <cfRule type="expression" dxfId="147" priority="250">
      <formula>Y64&gt;1.4%</formula>
    </cfRule>
  </conditionalFormatting>
  <conditionalFormatting sqref="I31:L31 Q31:T31 Y31:AB31">
    <cfRule type="expression" dxfId="146" priority="239">
      <formula>I31&lt;22</formula>
    </cfRule>
    <cfRule type="expression" dxfId="145" priority="240">
      <formula>I31&gt;28</formula>
    </cfRule>
  </conditionalFormatting>
  <conditionalFormatting sqref="I27:L30 Q27:T30 Y27:AB30">
    <cfRule type="cellIs" dxfId="144" priority="235" operator="between">
      <formula>50</formula>
      <formula>54.9</formula>
    </cfRule>
    <cfRule type="cellIs" dxfId="143" priority="236" operator="between">
      <formula>65.1</formula>
      <formula>70</formula>
    </cfRule>
    <cfRule type="expression" dxfId="142" priority="237">
      <formula>I27&lt;50</formula>
    </cfRule>
    <cfRule type="expression" dxfId="141" priority="238">
      <formula>I27&gt;70</formula>
    </cfRule>
  </conditionalFormatting>
  <conditionalFormatting sqref="K33 I33 S33 Q33 AA33 Y33">
    <cfRule type="expression" dxfId="140" priority="229">
      <formula>I33&lt;55</formula>
    </cfRule>
    <cfRule type="expression" dxfId="139" priority="230">
      <formula>I33&gt;65</formula>
    </cfRule>
  </conditionalFormatting>
  <conditionalFormatting sqref="K34 S34 AA34">
    <cfRule type="cellIs" dxfId="138" priority="225" operator="between">
      <formula>80</formula>
      <formula>84.9</formula>
    </cfRule>
    <cfRule type="cellIs" dxfId="137" priority="226" operator="between">
      <formula>95.1</formula>
      <formula>100</formula>
    </cfRule>
    <cfRule type="expression" dxfId="136" priority="227">
      <formula>K34&lt;80</formula>
    </cfRule>
    <cfRule type="expression" dxfId="135" priority="228">
      <formula>K34&gt;100</formula>
    </cfRule>
  </conditionalFormatting>
  <conditionalFormatting sqref="K35 I35 S35 Q35 AA35 Y35">
    <cfRule type="expression" dxfId="134" priority="223">
      <formula>I35&lt;40</formula>
    </cfRule>
    <cfRule type="expression" dxfId="133" priority="224">
      <formula>I35&gt;60</formula>
    </cfRule>
  </conditionalFormatting>
  <conditionalFormatting sqref="I36:I37 S36:S37 Q36:Q37 AA36:AA37 Y36:Y37 K36:K37">
    <cfRule type="expression" dxfId="132" priority="221">
      <formula>I36&lt;50</formula>
    </cfRule>
    <cfRule type="expression" dxfId="131" priority="222">
      <formula>I36&gt;70</formula>
    </cfRule>
  </conditionalFormatting>
  <conditionalFormatting sqref="I73:L73 Q73:T73 Y73:AB73">
    <cfRule type="expression" dxfId="130" priority="219">
      <formula>I73&lt;22</formula>
    </cfRule>
    <cfRule type="expression" dxfId="129" priority="220">
      <formula>I73&gt;28</formula>
    </cfRule>
  </conditionalFormatting>
  <conditionalFormatting sqref="I69:L72 Q69:T72 Y69:AB72">
    <cfRule type="cellIs" dxfId="128" priority="215" operator="between">
      <formula>50</formula>
      <formula>54.9</formula>
    </cfRule>
    <cfRule type="cellIs" dxfId="127" priority="216" operator="between">
      <formula>65.1</formula>
      <formula>70</formula>
    </cfRule>
    <cfRule type="expression" dxfId="126" priority="217">
      <formula>I69&lt;50</formula>
    </cfRule>
    <cfRule type="expression" dxfId="125" priority="218">
      <formula>I69&gt;70</formula>
    </cfRule>
  </conditionalFormatting>
  <conditionalFormatting sqref="K75 I75 S75 Q75 AA75 Y75">
    <cfRule type="expression" dxfId="124" priority="209">
      <formula>I75&lt;55</formula>
    </cfRule>
    <cfRule type="expression" dxfId="123" priority="210">
      <formula>I75&gt;65</formula>
    </cfRule>
  </conditionalFormatting>
  <conditionalFormatting sqref="K76 S76 AA76">
    <cfRule type="cellIs" dxfId="122" priority="205" operator="between">
      <formula>80</formula>
      <formula>84.9</formula>
    </cfRule>
    <cfRule type="cellIs" dxfId="121" priority="206" operator="between">
      <formula>95.1</formula>
      <formula>100</formula>
    </cfRule>
    <cfRule type="expression" dxfId="120" priority="207">
      <formula>K76&lt;80</formula>
    </cfRule>
    <cfRule type="expression" dxfId="119" priority="208">
      <formula>K76&gt;100</formula>
    </cfRule>
  </conditionalFormatting>
  <conditionalFormatting sqref="K77 I77 S77 Q77 AA77 Y77">
    <cfRule type="expression" dxfId="118" priority="203">
      <formula>I77&lt;40</formula>
    </cfRule>
    <cfRule type="expression" dxfId="117" priority="204">
      <formula>I77&gt;60</formula>
    </cfRule>
  </conditionalFormatting>
  <conditionalFormatting sqref="I78:I79 S78:S79 Q78:Q79 AA78:AA79 Y78:Y79 K78:K79">
    <cfRule type="expression" dxfId="116" priority="201">
      <formula>I78&lt;50</formula>
    </cfRule>
    <cfRule type="expression" dxfId="115" priority="202">
      <formula>I78&gt;70</formula>
    </cfRule>
  </conditionalFormatting>
  <conditionalFormatting sqref="Q59 Q17 Y17 Y59 I59 I17">
    <cfRule type="cellIs" dxfId="114" priority="198" operator="between">
      <formula>2.21</formula>
      <formula>2.4</formula>
    </cfRule>
    <cfRule type="expression" dxfId="113" priority="199">
      <formula>I17&lt;1.8</formula>
    </cfRule>
    <cfRule type="expression" dxfId="112" priority="200">
      <formula>I17&gt;2.4</formula>
    </cfRule>
  </conditionalFormatting>
  <conditionalFormatting sqref="I58 I16 Q16 Y16 Q58 Y58">
    <cfRule type="cellIs" dxfId="111" priority="194" operator="between">
      <formula>8</formula>
      <formula>9.99</formula>
    </cfRule>
    <cfRule type="cellIs" dxfId="110" priority="195" operator="between">
      <formula>14.1</formula>
      <formula>16</formula>
    </cfRule>
    <cfRule type="expression" dxfId="109" priority="196">
      <formula>I16&lt;8</formula>
    </cfRule>
    <cfRule type="expression" dxfId="108" priority="197">
      <formula>I16&gt;16</formula>
    </cfRule>
  </conditionalFormatting>
  <conditionalFormatting sqref="I32 K32 Q32 S32 Y32 AA32">
    <cfRule type="expression" dxfId="107" priority="157">
      <formula>I32&lt;35</formula>
    </cfRule>
    <cfRule type="expression" dxfId="106" priority="158">
      <formula>I32&gt;45</formula>
    </cfRule>
  </conditionalFormatting>
  <conditionalFormatting sqref="I32:L32 Q32:T32 Y32:AB32">
    <cfRule type="cellIs" dxfId="105" priority="155" operator="between">
      <formula>43.1</formula>
      <formula>45</formula>
    </cfRule>
    <cfRule type="cellIs" dxfId="104" priority="156" operator="between">
      <formula>35</formula>
      <formula>36.9</formula>
    </cfRule>
  </conditionalFormatting>
  <conditionalFormatting sqref="I74">
    <cfRule type="expression" dxfId="103" priority="133">
      <formula>I74&lt;35</formula>
    </cfRule>
    <cfRule type="expression" dxfId="102" priority="134">
      <formula>I74&gt;45</formula>
    </cfRule>
  </conditionalFormatting>
  <conditionalFormatting sqref="I74:J74">
    <cfRule type="cellIs" dxfId="101" priority="131" operator="between">
      <formula>43.1</formula>
      <formula>45</formula>
    </cfRule>
    <cfRule type="cellIs" dxfId="100" priority="132" operator="between">
      <formula>35</formula>
      <formula>36.9</formula>
    </cfRule>
  </conditionalFormatting>
  <conditionalFormatting sqref="K74">
    <cfRule type="expression" dxfId="99" priority="129">
      <formula>K74&lt;35</formula>
    </cfRule>
    <cfRule type="expression" dxfId="98" priority="130">
      <formula>K74&gt;45</formula>
    </cfRule>
  </conditionalFormatting>
  <conditionalFormatting sqref="K74:L74">
    <cfRule type="cellIs" dxfId="97" priority="127" operator="between">
      <formula>43.1</formula>
      <formula>45</formula>
    </cfRule>
    <cfRule type="cellIs" dxfId="96" priority="128" operator="between">
      <formula>35</formula>
      <formula>36.9</formula>
    </cfRule>
  </conditionalFormatting>
  <conditionalFormatting sqref="Q74">
    <cfRule type="expression" dxfId="95" priority="125">
      <formula>Q74&lt;35</formula>
    </cfRule>
    <cfRule type="expression" dxfId="94" priority="126">
      <formula>Q74&gt;45</formula>
    </cfRule>
  </conditionalFormatting>
  <conditionalFormatting sqref="Q74:R74">
    <cfRule type="cellIs" dxfId="93" priority="123" operator="between">
      <formula>43.1</formula>
      <formula>45</formula>
    </cfRule>
    <cfRule type="cellIs" dxfId="92" priority="124" operator="between">
      <formula>35</formula>
      <formula>36.9</formula>
    </cfRule>
  </conditionalFormatting>
  <conditionalFormatting sqref="S74">
    <cfRule type="expression" dxfId="91" priority="121">
      <formula>S74&lt;35</formula>
    </cfRule>
    <cfRule type="expression" dxfId="90" priority="122">
      <formula>S74&gt;45</formula>
    </cfRule>
  </conditionalFormatting>
  <conditionalFormatting sqref="S74:T74">
    <cfRule type="cellIs" dxfId="89" priority="119" operator="between">
      <formula>43.1</formula>
      <formula>45</formula>
    </cfRule>
    <cfRule type="cellIs" dxfId="88" priority="120" operator="between">
      <formula>35</formula>
      <formula>36.9</formula>
    </cfRule>
  </conditionalFormatting>
  <conditionalFormatting sqref="Y74">
    <cfRule type="expression" dxfId="87" priority="117">
      <formula>Y74&lt;35</formula>
    </cfRule>
    <cfRule type="expression" dxfId="86" priority="118">
      <formula>Y74&gt;45</formula>
    </cfRule>
  </conditionalFormatting>
  <conditionalFormatting sqref="Y74:Z74">
    <cfRule type="cellIs" dxfId="85" priority="115" operator="between">
      <formula>43.1</formula>
      <formula>45</formula>
    </cfRule>
    <cfRule type="cellIs" dxfId="84" priority="116" operator="between">
      <formula>35</formula>
      <formula>36.9</formula>
    </cfRule>
  </conditionalFormatting>
  <conditionalFormatting sqref="AA74">
    <cfRule type="expression" dxfId="83" priority="113">
      <formula>AA74&lt;35</formula>
    </cfRule>
    <cfRule type="expression" dxfId="82" priority="114">
      <formula>AA74&gt;45</formula>
    </cfRule>
  </conditionalFormatting>
  <conditionalFormatting sqref="AA74:AB74">
    <cfRule type="cellIs" dxfId="81" priority="111" operator="between">
      <formula>43.1</formula>
      <formula>45</formula>
    </cfRule>
    <cfRule type="cellIs" dxfId="80" priority="112" operator="between">
      <formula>35</formula>
      <formula>36.9</formula>
    </cfRule>
  </conditionalFormatting>
  <conditionalFormatting sqref="I74">
    <cfRule type="expression" dxfId="79" priority="109">
      <formula>I74&lt;35</formula>
    </cfRule>
    <cfRule type="expression" dxfId="78" priority="110">
      <formula>I74&gt;45</formula>
    </cfRule>
  </conditionalFormatting>
  <conditionalFormatting sqref="I74:J74">
    <cfRule type="cellIs" dxfId="77" priority="107" operator="between">
      <formula>43.1</formula>
      <formula>45</formula>
    </cfRule>
    <cfRule type="cellIs" dxfId="76" priority="108" operator="between">
      <formula>35</formula>
      <formula>36.9</formula>
    </cfRule>
  </conditionalFormatting>
  <conditionalFormatting sqref="K74">
    <cfRule type="expression" dxfId="75" priority="105">
      <formula>K74&lt;35</formula>
    </cfRule>
    <cfRule type="expression" dxfId="74" priority="106">
      <formula>K74&gt;45</formula>
    </cfRule>
  </conditionalFormatting>
  <conditionalFormatting sqref="K74:L74">
    <cfRule type="cellIs" dxfId="73" priority="103" operator="between">
      <formula>43.1</formula>
      <formula>45</formula>
    </cfRule>
    <cfRule type="cellIs" dxfId="72" priority="104" operator="between">
      <formula>35</formula>
      <formula>36.9</formula>
    </cfRule>
  </conditionalFormatting>
  <conditionalFormatting sqref="Q74">
    <cfRule type="expression" dxfId="71" priority="101">
      <formula>Q74&lt;35</formula>
    </cfRule>
    <cfRule type="expression" dxfId="70" priority="102">
      <formula>Q74&gt;45</formula>
    </cfRule>
  </conditionalFormatting>
  <conditionalFormatting sqref="Q74:R74">
    <cfRule type="cellIs" dxfId="69" priority="99" operator="between">
      <formula>43.1</formula>
      <formula>45</formula>
    </cfRule>
    <cfRule type="cellIs" dxfId="68" priority="100" operator="between">
      <formula>35</formula>
      <formula>36.9</formula>
    </cfRule>
  </conditionalFormatting>
  <conditionalFormatting sqref="S74">
    <cfRule type="expression" dxfId="67" priority="97">
      <formula>S74&lt;35</formula>
    </cfRule>
    <cfRule type="expression" dxfId="66" priority="98">
      <formula>S74&gt;45</formula>
    </cfRule>
  </conditionalFormatting>
  <conditionalFormatting sqref="S74:T74">
    <cfRule type="cellIs" dxfId="65" priority="95" operator="between">
      <formula>43.1</formula>
      <formula>45</formula>
    </cfRule>
    <cfRule type="cellIs" dxfId="64" priority="96" operator="between">
      <formula>35</formula>
      <formula>36.9</formula>
    </cfRule>
  </conditionalFormatting>
  <conditionalFormatting sqref="Y74">
    <cfRule type="expression" dxfId="63" priority="93">
      <formula>Y74&lt;35</formula>
    </cfRule>
    <cfRule type="expression" dxfId="62" priority="94">
      <formula>Y74&gt;45</formula>
    </cfRule>
  </conditionalFormatting>
  <conditionalFormatting sqref="Y74:Z74">
    <cfRule type="cellIs" dxfId="61" priority="91" operator="between">
      <formula>43.1</formula>
      <formula>45</formula>
    </cfRule>
    <cfRule type="cellIs" dxfId="60" priority="92" operator="between">
      <formula>35</formula>
      <formula>36.9</formula>
    </cfRule>
  </conditionalFormatting>
  <conditionalFormatting sqref="AA74">
    <cfRule type="expression" dxfId="59" priority="89">
      <formula>AA74&lt;35</formula>
    </cfRule>
    <cfRule type="expression" dxfId="58" priority="90">
      <formula>AA74&gt;45</formula>
    </cfRule>
  </conditionalFormatting>
  <conditionalFormatting sqref="AA74:AB74">
    <cfRule type="cellIs" dxfId="57" priority="87" operator="between">
      <formula>43.1</formula>
      <formula>45</formula>
    </cfRule>
    <cfRule type="cellIs" dxfId="56" priority="88" operator="between">
      <formula>35</formula>
      <formula>36.9</formula>
    </cfRule>
  </conditionalFormatting>
  <conditionalFormatting sqref="I23 Q23 Y23">
    <cfRule type="cellIs" dxfId="55" priority="83" operator="between">
      <formula>5</formula>
      <formula>5.499</formula>
    </cfRule>
    <cfRule type="cellIs" dxfId="54" priority="84" operator="between">
      <formula>6.51</formula>
      <formula>8</formula>
    </cfRule>
    <cfRule type="expression" dxfId="53" priority="85">
      <formula>I23&lt;5</formula>
    </cfRule>
    <cfRule type="expression" dxfId="52" priority="86">
      <formula>I23&gt;8</formula>
    </cfRule>
  </conditionalFormatting>
  <conditionalFormatting sqref="I24 Q24 Y24">
    <cfRule type="cellIs" dxfId="51" priority="79" operator="between">
      <formula>1.8</formula>
      <formula>1.999</formula>
    </cfRule>
    <cfRule type="cellIs" dxfId="50" priority="80" operator="between">
      <formula>2.21</formula>
      <formula>2.4</formula>
    </cfRule>
    <cfRule type="expression" dxfId="49" priority="81">
      <formula>I24&lt;1.8</formula>
    </cfRule>
    <cfRule type="expression" dxfId="48" priority="82">
      <formula>I24&gt;2.4</formula>
    </cfRule>
  </conditionalFormatting>
  <conditionalFormatting sqref="I65">
    <cfRule type="cellIs" dxfId="47" priority="59" operator="between">
      <formula>5</formula>
      <formula>5.499</formula>
    </cfRule>
    <cfRule type="cellIs" dxfId="46" priority="60" operator="between">
      <formula>6.51</formula>
      <formula>8</formula>
    </cfRule>
    <cfRule type="expression" dxfId="45" priority="61">
      <formula>I65&lt;5</formula>
    </cfRule>
    <cfRule type="expression" dxfId="44" priority="62">
      <formula>I65&gt;8</formula>
    </cfRule>
  </conditionalFormatting>
  <conditionalFormatting sqref="I66">
    <cfRule type="cellIs" dxfId="43" priority="55" operator="between">
      <formula>1.8</formula>
      <formula>1.999</formula>
    </cfRule>
    <cfRule type="cellIs" dxfId="42" priority="56" operator="between">
      <formula>2.21</formula>
      <formula>2.4</formula>
    </cfRule>
    <cfRule type="expression" dxfId="41" priority="57">
      <formula>I66&lt;1.8</formula>
    </cfRule>
    <cfRule type="expression" dxfId="40" priority="58">
      <formula>I66&gt;2.4</formula>
    </cfRule>
  </conditionalFormatting>
  <conditionalFormatting sqref="Q65">
    <cfRule type="cellIs" dxfId="39" priority="51" operator="between">
      <formula>5</formula>
      <formula>5.499</formula>
    </cfRule>
    <cfRule type="cellIs" dxfId="38" priority="52" operator="between">
      <formula>6.51</formula>
      <formula>8</formula>
    </cfRule>
    <cfRule type="expression" dxfId="37" priority="53">
      <formula>Q65&lt;5</formula>
    </cfRule>
    <cfRule type="expression" dxfId="36" priority="54">
      <formula>Q65&gt;8</formula>
    </cfRule>
  </conditionalFormatting>
  <conditionalFormatting sqref="Q66">
    <cfRule type="cellIs" dxfId="35" priority="47" operator="between">
      <formula>1.8</formula>
      <formula>1.999</formula>
    </cfRule>
    <cfRule type="cellIs" dxfId="34" priority="48" operator="between">
      <formula>2.21</formula>
      <formula>2.4</formula>
    </cfRule>
    <cfRule type="expression" dxfId="33" priority="49">
      <formula>Q66&lt;1.8</formula>
    </cfRule>
    <cfRule type="expression" dxfId="32" priority="50">
      <formula>Q66&gt;2.4</formula>
    </cfRule>
  </conditionalFormatting>
  <conditionalFormatting sqref="Y65">
    <cfRule type="cellIs" dxfId="31" priority="43" operator="between">
      <formula>5</formula>
      <formula>5.499</formula>
    </cfRule>
    <cfRule type="cellIs" dxfId="30" priority="44" operator="between">
      <formula>6.51</formula>
      <formula>8</formula>
    </cfRule>
    <cfRule type="expression" dxfId="29" priority="45">
      <formula>Y65&lt;5</formula>
    </cfRule>
    <cfRule type="expression" dxfId="28" priority="46">
      <formula>Y65&gt;8</formula>
    </cfRule>
  </conditionalFormatting>
  <conditionalFormatting sqref="Y66">
    <cfRule type="cellIs" dxfId="27" priority="39" operator="between">
      <formula>1.8</formula>
      <formula>1.999</formula>
    </cfRule>
    <cfRule type="cellIs" dxfId="26" priority="40" operator="between">
      <formula>2.21</formula>
      <formula>2.4</formula>
    </cfRule>
    <cfRule type="expression" dxfId="25" priority="41">
      <formula>Y66&lt;1.8</formula>
    </cfRule>
    <cfRule type="expression" dxfId="24" priority="42">
      <formula>Y66&gt;2.4</formula>
    </cfRule>
  </conditionalFormatting>
  <conditionalFormatting sqref="I18">
    <cfRule type="expression" dxfId="23" priority="33">
      <formula>I18&lt;40%</formula>
    </cfRule>
    <cfRule type="expression" dxfId="22" priority="34">
      <formula>I18&gt;50%</formula>
    </cfRule>
  </conditionalFormatting>
  <conditionalFormatting sqref="I20:I21">
    <cfRule type="expression" dxfId="21" priority="31">
      <formula>I20&lt;40%</formula>
    </cfRule>
    <cfRule type="expression" dxfId="20" priority="32">
      <formula>I20&gt;50%</formula>
    </cfRule>
  </conditionalFormatting>
  <conditionalFormatting sqref="Q18">
    <cfRule type="expression" dxfId="19" priority="27">
      <formula>Q18&lt;40%</formula>
    </cfRule>
    <cfRule type="expression" dxfId="18" priority="28">
      <formula>Q18&gt;50%</formula>
    </cfRule>
  </conditionalFormatting>
  <conditionalFormatting sqref="Q20:Q21">
    <cfRule type="expression" dxfId="17" priority="25">
      <formula>Q20&lt;40%</formula>
    </cfRule>
    <cfRule type="expression" dxfId="16" priority="26">
      <formula>Q20&gt;50%</formula>
    </cfRule>
  </conditionalFormatting>
  <conditionalFormatting sqref="Y18">
    <cfRule type="expression" dxfId="15" priority="21">
      <formula>Y18&lt;40%</formula>
    </cfRule>
    <cfRule type="expression" dxfId="14" priority="22">
      <formula>Y18&gt;50%</formula>
    </cfRule>
  </conditionalFormatting>
  <conditionalFormatting sqref="Y20:Y21">
    <cfRule type="expression" dxfId="13" priority="19">
      <formula>Y20&lt;40%</formula>
    </cfRule>
    <cfRule type="expression" dxfId="12" priority="20">
      <formula>Y20&gt;50%</formula>
    </cfRule>
  </conditionalFormatting>
  <conditionalFormatting sqref="I60">
    <cfRule type="expression" dxfId="11" priority="15">
      <formula>I60&lt;40%</formula>
    </cfRule>
    <cfRule type="expression" dxfId="10" priority="16">
      <formula>I60&gt;50%</formula>
    </cfRule>
  </conditionalFormatting>
  <conditionalFormatting sqref="I62:I63">
    <cfRule type="expression" dxfId="9" priority="13">
      <formula>I62&lt;40%</formula>
    </cfRule>
    <cfRule type="expression" dxfId="8" priority="14">
      <formula>I62&gt;50%</formula>
    </cfRule>
  </conditionalFormatting>
  <conditionalFormatting sqref="Q60">
    <cfRule type="expression" dxfId="7" priority="9">
      <formula>Q60&lt;40%</formula>
    </cfRule>
    <cfRule type="expression" dxfId="6" priority="10">
      <formula>Q60&gt;50%</formula>
    </cfRule>
  </conditionalFormatting>
  <conditionalFormatting sqref="Q62:Q63">
    <cfRule type="expression" dxfId="5" priority="7">
      <formula>Q62&lt;40%</formula>
    </cfRule>
    <cfRule type="expression" dxfId="4" priority="8">
      <formula>Q62&gt;50%</formula>
    </cfRule>
  </conditionalFormatting>
  <conditionalFormatting sqref="Y60">
    <cfRule type="expression" dxfId="3" priority="3">
      <formula>Y60&lt;40%</formula>
    </cfRule>
    <cfRule type="expression" dxfId="2" priority="4">
      <formula>Y60&gt;50%</formula>
    </cfRule>
  </conditionalFormatting>
  <conditionalFormatting sqref="Y62:Y63">
    <cfRule type="expression" dxfId="1" priority="1">
      <formula>Y62&lt;40%</formula>
    </cfRule>
    <cfRule type="expression" dxfId="0" priority="2">
      <formula>Y62&gt;50%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legacyDrawing r:id="rId3"/>
</worksheet>
</file>

<file path=xl/worksheets/sheet53.xml><?xml version="1.0" encoding="utf-8"?>
<worksheet xmlns="http://schemas.openxmlformats.org/spreadsheetml/2006/main" xmlns:r="http://schemas.openxmlformats.org/officeDocument/2006/relationships">
  <sheetPr>
    <tabColor rgb="FFCCFF66"/>
  </sheetPr>
  <dimension ref="A1:N60"/>
  <sheetViews>
    <sheetView zoomScale="70" zoomScaleNormal="70" workbookViewId="0">
      <pane xSplit="1" ySplit="2" topLeftCell="B48" activePane="bottomRight" state="frozen"/>
      <selection pane="topRight" activeCell="B1" sqref="B1"/>
      <selection pane="bottomLeft" activeCell="A3" sqref="A3"/>
      <selection pane="bottomRight" activeCell="A54" sqref="A54:A60"/>
    </sheetView>
  </sheetViews>
  <sheetFormatPr defaultRowHeight="15.75"/>
  <cols>
    <col min="1" max="1" width="18.25" style="264" customWidth="1"/>
    <col min="2" max="2" width="42.5" style="264" customWidth="1"/>
    <col min="3" max="3" width="101.875" style="1219" customWidth="1"/>
    <col min="4" max="4" width="23.5" style="264" customWidth="1"/>
    <col min="5" max="5" width="18.125" style="264" customWidth="1"/>
    <col min="6" max="6" width="7.625" style="264" customWidth="1"/>
    <col min="7" max="7" width="18.125" style="264" customWidth="1"/>
    <col min="8" max="8" width="7.125" style="264" customWidth="1"/>
    <col min="9" max="10" width="18.125" style="264" customWidth="1"/>
    <col min="11" max="11" width="12" style="264" customWidth="1"/>
    <col min="12" max="12" width="24.75" style="264" customWidth="1"/>
    <col min="13" max="16384" width="9" style="264"/>
  </cols>
  <sheetData>
    <row r="1" spans="1:3" ht="39" customHeight="1">
      <c r="B1" s="3965" t="s">
        <v>1581</v>
      </c>
      <c r="C1" s="3965"/>
    </row>
    <row r="2" spans="1:3" ht="41.25" customHeight="1">
      <c r="A2" s="2428" t="s">
        <v>1576</v>
      </c>
      <c r="B2" s="2444" t="s">
        <v>1574</v>
      </c>
      <c r="C2" s="2428" t="s">
        <v>995</v>
      </c>
    </row>
    <row r="3" spans="1:3" ht="36" customHeight="1">
      <c r="A3" s="3962" t="s">
        <v>1575</v>
      </c>
      <c r="B3" s="2429" t="s">
        <v>76</v>
      </c>
      <c r="C3" s="3970" t="s">
        <v>1000</v>
      </c>
    </row>
    <row r="4" spans="1:3" ht="36" customHeight="1">
      <c r="A4" s="3962"/>
      <c r="B4" s="2429" t="s">
        <v>77</v>
      </c>
      <c r="C4" s="3970"/>
    </row>
    <row r="5" spans="1:3" ht="36" customHeight="1">
      <c r="A5" s="3962"/>
      <c r="B5" s="2429" t="s">
        <v>48</v>
      </c>
      <c r="C5" s="3970"/>
    </row>
    <row r="6" spans="1:3" ht="36" customHeight="1">
      <c r="A6" s="3962"/>
      <c r="B6" s="2429" t="s">
        <v>49</v>
      </c>
      <c r="C6" s="3970"/>
    </row>
    <row r="7" spans="1:3" ht="36" customHeight="1">
      <c r="A7" s="3962"/>
      <c r="B7" s="101" t="s">
        <v>55</v>
      </c>
      <c r="C7" s="2430" t="s">
        <v>1286</v>
      </c>
    </row>
    <row r="8" spans="1:3" ht="36" customHeight="1">
      <c r="A8" s="3962"/>
      <c r="B8" s="2427" t="s">
        <v>56</v>
      </c>
      <c r="C8" s="2430" t="s">
        <v>1009</v>
      </c>
    </row>
    <row r="9" spans="1:3" ht="36" customHeight="1">
      <c r="A9" s="3962"/>
      <c r="B9" s="2425" t="s">
        <v>968</v>
      </c>
      <c r="C9" s="2430" t="s">
        <v>999</v>
      </c>
    </row>
    <row r="10" spans="1:3" ht="36" customHeight="1">
      <c r="A10" s="3962"/>
      <c r="B10" s="101" t="s">
        <v>57</v>
      </c>
      <c r="C10" s="3970" t="s">
        <v>996</v>
      </c>
    </row>
    <row r="11" spans="1:3" ht="36" customHeight="1">
      <c r="A11" s="3962"/>
      <c r="B11" s="101" t="s">
        <v>58</v>
      </c>
      <c r="C11" s="3970"/>
    </row>
    <row r="12" spans="1:3" ht="36" customHeight="1">
      <c r="A12" s="3962"/>
      <c r="B12" s="101" t="s">
        <v>59</v>
      </c>
      <c r="C12" s="2430" t="s">
        <v>997</v>
      </c>
    </row>
    <row r="13" spans="1:3" ht="36" customHeight="1">
      <c r="A13" s="3962"/>
      <c r="B13" s="101" t="s">
        <v>145</v>
      </c>
      <c r="C13" s="2430" t="s">
        <v>1572</v>
      </c>
    </row>
    <row r="14" spans="1:3" ht="36" customHeight="1">
      <c r="A14" s="3962"/>
      <c r="B14" s="101" t="s">
        <v>1527</v>
      </c>
      <c r="C14" s="2430" t="s">
        <v>1528</v>
      </c>
    </row>
    <row r="15" spans="1:3" ht="36" customHeight="1">
      <c r="A15" s="3962" t="s">
        <v>1577</v>
      </c>
      <c r="B15" s="2438" t="s">
        <v>1470</v>
      </c>
      <c r="C15" s="3967" t="s">
        <v>1287</v>
      </c>
    </row>
    <row r="16" spans="1:3" ht="36" customHeight="1">
      <c r="A16" s="3962"/>
      <c r="B16" s="2438" t="s">
        <v>1471</v>
      </c>
      <c r="C16" s="3968"/>
    </row>
    <row r="17" spans="1:13" ht="36" customHeight="1">
      <c r="A17" s="3962"/>
      <c r="B17" s="2438" t="s">
        <v>1472</v>
      </c>
      <c r="C17" s="3968"/>
    </row>
    <row r="18" spans="1:13" ht="36" customHeight="1">
      <c r="A18" s="3962"/>
      <c r="B18" s="2438" t="s">
        <v>1474</v>
      </c>
      <c r="C18" s="3969"/>
    </row>
    <row r="19" spans="1:13" ht="36" customHeight="1">
      <c r="A19" s="3962"/>
      <c r="B19" s="2432" t="s">
        <v>55</v>
      </c>
      <c r="C19" s="2430" t="s">
        <v>1286</v>
      </c>
    </row>
    <row r="20" spans="1:13" ht="36" customHeight="1">
      <c r="A20" s="3962"/>
      <c r="B20" s="2424" t="s">
        <v>56</v>
      </c>
      <c r="C20" s="2430" t="s">
        <v>1009</v>
      </c>
    </row>
    <row r="21" spans="1:13" ht="36" customHeight="1">
      <c r="A21" s="3962"/>
      <c r="B21" s="2437" t="s">
        <v>1012</v>
      </c>
      <c r="C21" s="2430" t="s">
        <v>1288</v>
      </c>
    </row>
    <row r="22" spans="1:13" ht="36" customHeight="1">
      <c r="A22" s="3962"/>
      <c r="B22" s="2432" t="s">
        <v>57</v>
      </c>
      <c r="C22" s="3970" t="s">
        <v>996</v>
      </c>
    </row>
    <row r="23" spans="1:13" ht="36" customHeight="1">
      <c r="A23" s="3962"/>
      <c r="B23" s="2432" t="s">
        <v>58</v>
      </c>
      <c r="C23" s="3970"/>
    </row>
    <row r="24" spans="1:13" ht="36" customHeight="1">
      <c r="A24" s="3962"/>
      <c r="B24" s="2432" t="s">
        <v>59</v>
      </c>
      <c r="C24" s="2430" t="s">
        <v>997</v>
      </c>
    </row>
    <row r="25" spans="1:13" ht="36" customHeight="1">
      <c r="A25" s="3962"/>
      <c r="B25" s="2432" t="s">
        <v>145</v>
      </c>
      <c r="C25" s="2430" t="s">
        <v>1572</v>
      </c>
    </row>
    <row r="26" spans="1:13" ht="36" customHeight="1">
      <c r="A26" s="3962"/>
      <c r="B26" s="2439" t="s">
        <v>829</v>
      </c>
      <c r="C26" s="2442" t="s">
        <v>1573</v>
      </c>
    </row>
    <row r="27" spans="1:13" ht="36" customHeight="1">
      <c r="A27" s="3962" t="s">
        <v>1578</v>
      </c>
      <c r="B27" s="2438" t="s">
        <v>1475</v>
      </c>
      <c r="C27" s="3971" t="s">
        <v>1287</v>
      </c>
      <c r="D27" s="1043"/>
      <c r="E27" s="1043"/>
      <c r="F27" s="1043"/>
      <c r="G27" s="1043"/>
      <c r="H27" s="1043"/>
      <c r="I27" s="1043"/>
      <c r="J27" s="1043"/>
      <c r="K27" s="1043"/>
      <c r="L27" s="1043"/>
      <c r="M27" s="1043"/>
    </row>
    <row r="28" spans="1:13" ht="36" customHeight="1">
      <c r="A28" s="3962"/>
      <c r="B28" s="2438" t="s">
        <v>1476</v>
      </c>
      <c r="C28" s="3972"/>
      <c r="D28" s="1043"/>
      <c r="E28" s="1043"/>
      <c r="F28" s="1043"/>
      <c r="G28" s="1043"/>
      <c r="H28" s="1043"/>
      <c r="I28" s="1043"/>
      <c r="J28" s="1043"/>
      <c r="K28" s="1043"/>
      <c r="L28" s="1043"/>
      <c r="M28" s="1043"/>
    </row>
    <row r="29" spans="1:13" ht="36" customHeight="1">
      <c r="A29" s="3962"/>
      <c r="B29" s="2438" t="s">
        <v>1477</v>
      </c>
      <c r="C29" s="3972"/>
      <c r="D29" s="1043"/>
      <c r="E29" s="1043"/>
      <c r="F29" s="1043"/>
      <c r="G29" s="1043"/>
      <c r="H29" s="1043"/>
      <c r="I29" s="1043"/>
      <c r="J29" s="1043"/>
      <c r="K29" s="1043"/>
      <c r="L29" s="1043"/>
      <c r="M29" s="1043"/>
    </row>
    <row r="30" spans="1:13" ht="36" customHeight="1">
      <c r="A30" s="3962"/>
      <c r="B30" s="2438" t="s">
        <v>1478</v>
      </c>
      <c r="C30" s="3973"/>
      <c r="D30" s="1043"/>
      <c r="E30" s="1043"/>
      <c r="F30" s="1043"/>
      <c r="G30" s="1043"/>
      <c r="H30" s="1043"/>
      <c r="I30" s="1043"/>
      <c r="J30" s="1043"/>
      <c r="K30" s="1043"/>
      <c r="L30" s="1043"/>
      <c r="M30" s="1043"/>
    </row>
    <row r="31" spans="1:13" ht="36" customHeight="1">
      <c r="A31" s="3962"/>
      <c r="B31" s="2433" t="s">
        <v>79</v>
      </c>
      <c r="C31" s="2430" t="s">
        <v>1286</v>
      </c>
      <c r="D31" s="1043"/>
      <c r="E31" s="1043"/>
      <c r="F31" s="1043"/>
      <c r="G31" s="1043"/>
      <c r="H31" s="1043"/>
      <c r="I31" s="1043"/>
      <c r="J31" s="1043"/>
      <c r="K31" s="1043"/>
      <c r="L31" s="1043"/>
      <c r="M31" s="1043"/>
    </row>
    <row r="32" spans="1:13" ht="36" customHeight="1">
      <c r="A32" s="3962"/>
      <c r="B32" s="2424" t="s">
        <v>80</v>
      </c>
      <c r="C32" s="2430" t="s">
        <v>1009</v>
      </c>
      <c r="D32" s="1043"/>
      <c r="E32" s="1043"/>
      <c r="F32" s="1043"/>
      <c r="G32" s="1043"/>
      <c r="H32" s="1043"/>
      <c r="I32" s="1043"/>
      <c r="J32" s="1043"/>
      <c r="K32" s="1043"/>
      <c r="L32" s="1043"/>
      <c r="M32" s="1043"/>
    </row>
    <row r="33" spans="1:13" ht="36" customHeight="1">
      <c r="A33" s="3962"/>
      <c r="B33" s="2437" t="s">
        <v>1562</v>
      </c>
      <c r="C33" s="2430" t="s">
        <v>1288</v>
      </c>
      <c r="D33" s="1043"/>
      <c r="E33" s="1043"/>
      <c r="F33" s="1043"/>
      <c r="G33" s="1043"/>
      <c r="H33" s="1043"/>
      <c r="I33" s="1043"/>
      <c r="J33" s="1043"/>
      <c r="K33" s="1043"/>
      <c r="L33" s="1043"/>
      <c r="M33" s="1043"/>
    </row>
    <row r="34" spans="1:13" ht="36" customHeight="1">
      <c r="A34" s="3962"/>
      <c r="B34" s="101" t="s">
        <v>1554</v>
      </c>
      <c r="C34" s="3970" t="s">
        <v>998</v>
      </c>
      <c r="D34" s="1043"/>
      <c r="E34" s="1043"/>
      <c r="F34" s="1043"/>
      <c r="G34" s="1043"/>
      <c r="H34" s="1043"/>
      <c r="I34" s="1043"/>
      <c r="J34" s="1043"/>
      <c r="K34" s="1043"/>
      <c r="L34" s="1043"/>
      <c r="M34" s="1043"/>
    </row>
    <row r="35" spans="1:13" ht="36" customHeight="1">
      <c r="A35" s="3962"/>
      <c r="B35" s="101" t="s">
        <v>1555</v>
      </c>
      <c r="C35" s="3970"/>
      <c r="D35" s="1043"/>
      <c r="E35" s="1043"/>
      <c r="F35" s="1043"/>
      <c r="G35" s="1043"/>
      <c r="H35" s="1043"/>
      <c r="I35" s="1043"/>
      <c r="J35" s="1043"/>
      <c r="K35" s="1043"/>
      <c r="L35" s="1043"/>
      <c r="M35" s="1043"/>
    </row>
    <row r="36" spans="1:13" ht="36" customHeight="1">
      <c r="A36" s="3962"/>
      <c r="B36" s="101" t="s">
        <v>82</v>
      </c>
      <c r="C36" s="3970"/>
      <c r="D36" s="1043"/>
      <c r="E36" s="1043"/>
      <c r="F36" s="1043"/>
      <c r="G36" s="1043"/>
      <c r="H36" s="1043"/>
      <c r="I36" s="1043"/>
      <c r="J36" s="1043"/>
      <c r="K36" s="1043"/>
      <c r="L36" s="1043"/>
      <c r="M36" s="1043"/>
    </row>
    <row r="37" spans="1:13" ht="36" customHeight="1">
      <c r="A37" s="3962"/>
      <c r="B37" s="101" t="s">
        <v>81</v>
      </c>
      <c r="C37" s="3970"/>
      <c r="D37" s="1043"/>
      <c r="E37" s="1043"/>
      <c r="F37" s="1043"/>
      <c r="G37" s="1043"/>
      <c r="H37" s="1043"/>
      <c r="I37" s="1043"/>
      <c r="J37" s="1043"/>
      <c r="K37" s="1043"/>
      <c r="L37" s="1043"/>
      <c r="M37" s="1043"/>
    </row>
    <row r="38" spans="1:13" ht="36" customHeight="1">
      <c r="A38" s="3962"/>
      <c r="B38" s="101" t="s">
        <v>147</v>
      </c>
      <c r="C38" s="2430" t="s">
        <v>1572</v>
      </c>
      <c r="D38" s="1043"/>
      <c r="E38" s="1043"/>
      <c r="F38" s="1043"/>
      <c r="G38" s="1043"/>
      <c r="H38" s="1043"/>
      <c r="I38" s="1043"/>
      <c r="J38" s="1043"/>
      <c r="K38" s="1043"/>
      <c r="L38" s="1043"/>
      <c r="M38" s="1043"/>
    </row>
    <row r="39" spans="1:13" ht="36" customHeight="1">
      <c r="A39" s="3962"/>
      <c r="B39" s="2440" t="s">
        <v>1545</v>
      </c>
      <c r="C39" s="2430" t="s">
        <v>1573</v>
      </c>
      <c r="D39" s="1043"/>
      <c r="E39" s="1043"/>
      <c r="F39" s="1043"/>
      <c r="G39" s="1043"/>
      <c r="H39" s="1043"/>
      <c r="I39" s="1043"/>
      <c r="J39" s="1043"/>
      <c r="K39" s="1043"/>
      <c r="L39" s="1043"/>
      <c r="M39" s="1043"/>
    </row>
    <row r="40" spans="1:13" ht="36" customHeight="1">
      <c r="A40" s="3962"/>
      <c r="B40" s="1355" t="s">
        <v>192</v>
      </c>
      <c r="C40" s="2430" t="s">
        <v>1098</v>
      </c>
      <c r="D40" s="1043"/>
      <c r="E40" s="1043"/>
      <c r="F40" s="1043"/>
      <c r="G40" s="1043"/>
      <c r="H40" s="1043"/>
      <c r="I40" s="1043"/>
      <c r="J40" s="1043"/>
      <c r="K40" s="1043"/>
      <c r="L40" s="1043"/>
      <c r="M40" s="1043"/>
    </row>
    <row r="41" spans="1:13" ht="36" customHeight="1">
      <c r="A41" s="3962"/>
      <c r="B41" s="1355" t="s">
        <v>191</v>
      </c>
      <c r="C41" s="2430" t="s">
        <v>1286</v>
      </c>
      <c r="D41" s="1043"/>
      <c r="E41" s="1043"/>
      <c r="F41" s="1043"/>
      <c r="G41" s="1043"/>
      <c r="H41" s="1043"/>
      <c r="I41" s="1043"/>
      <c r="J41" s="1043"/>
      <c r="K41" s="1043"/>
      <c r="L41" s="1043"/>
      <c r="M41" s="1043"/>
    </row>
    <row r="42" spans="1:13" ht="36" customHeight="1">
      <c r="A42" s="3962" t="s">
        <v>1580</v>
      </c>
      <c r="B42" s="2429" t="s">
        <v>447</v>
      </c>
      <c r="C42" s="2441" t="s">
        <v>1002</v>
      </c>
      <c r="D42" s="12"/>
      <c r="E42" s="12"/>
      <c r="F42" s="12"/>
      <c r="G42" s="12"/>
      <c r="H42" s="12"/>
      <c r="I42" s="12"/>
      <c r="J42" s="12"/>
      <c r="K42" s="12"/>
    </row>
    <row r="43" spans="1:13" ht="36" customHeight="1">
      <c r="A43" s="3962"/>
      <c r="B43" s="2429" t="s">
        <v>835</v>
      </c>
      <c r="C43" s="2441" t="s">
        <v>1001</v>
      </c>
      <c r="D43" s="12"/>
      <c r="E43" s="12"/>
      <c r="F43" s="12"/>
      <c r="G43" s="12"/>
      <c r="H43" s="12"/>
      <c r="I43" s="12"/>
      <c r="J43" s="12"/>
      <c r="K43" s="12"/>
    </row>
    <row r="44" spans="1:13" ht="36" customHeight="1">
      <c r="A44" s="3962"/>
      <c r="B44" s="2429" t="s">
        <v>782</v>
      </c>
      <c r="C44" s="2441" t="s">
        <v>1003</v>
      </c>
      <c r="D44" s="12"/>
      <c r="E44" s="12"/>
      <c r="F44" s="12"/>
      <c r="G44" s="12"/>
      <c r="H44" s="12"/>
      <c r="I44" s="12"/>
      <c r="J44" s="12"/>
      <c r="K44" s="12"/>
    </row>
    <row r="45" spans="1:13" ht="36" customHeight="1">
      <c r="A45" s="3962"/>
      <c r="B45" s="2429" t="s">
        <v>783</v>
      </c>
      <c r="C45" s="2441" t="s">
        <v>1004</v>
      </c>
      <c r="D45" s="12"/>
      <c r="E45" s="12"/>
      <c r="F45" s="12"/>
      <c r="G45" s="12"/>
      <c r="H45" s="12"/>
      <c r="I45" s="12"/>
      <c r="J45" s="12"/>
      <c r="K45" s="12"/>
    </row>
    <row r="46" spans="1:13" ht="36" customHeight="1">
      <c r="A46" s="3962"/>
      <c r="B46" s="2429" t="s">
        <v>784</v>
      </c>
      <c r="C46" s="2441" t="s">
        <v>1005</v>
      </c>
      <c r="D46" s="12"/>
      <c r="E46" s="12"/>
      <c r="F46" s="12"/>
      <c r="G46" s="12"/>
      <c r="H46" s="12"/>
      <c r="I46" s="12"/>
      <c r="J46" s="12"/>
      <c r="K46" s="12"/>
    </row>
    <row r="47" spans="1:13" ht="36" customHeight="1">
      <c r="A47" s="3962"/>
      <c r="B47" s="2429" t="s">
        <v>438</v>
      </c>
      <c r="C47" s="2443"/>
      <c r="D47" s="12"/>
      <c r="E47" s="12"/>
      <c r="F47" s="12"/>
      <c r="G47" s="12"/>
      <c r="H47" s="12"/>
      <c r="I47" s="12"/>
      <c r="J47" s="12"/>
      <c r="K47" s="12"/>
    </row>
    <row r="48" spans="1:13" ht="36" customHeight="1">
      <c r="A48" s="3962" t="s">
        <v>1579</v>
      </c>
      <c r="B48" s="2429" t="s">
        <v>525</v>
      </c>
      <c r="C48" s="3966" t="s">
        <v>1010</v>
      </c>
      <c r="D48" s="12"/>
      <c r="E48" s="12"/>
      <c r="F48" s="12"/>
      <c r="G48" s="12"/>
      <c r="H48" s="12"/>
      <c r="I48" s="12"/>
      <c r="J48" s="12"/>
      <c r="K48" s="12"/>
    </row>
    <row r="49" spans="1:14" ht="36" customHeight="1">
      <c r="A49" s="3962"/>
      <c r="B49" s="2429" t="s">
        <v>529</v>
      </c>
      <c r="C49" s="3966"/>
      <c r="D49" s="12"/>
      <c r="E49" s="12"/>
      <c r="F49" s="12"/>
      <c r="G49" s="12"/>
      <c r="H49" s="12"/>
      <c r="I49" s="12"/>
      <c r="J49" s="12"/>
      <c r="K49" s="12"/>
    </row>
    <row r="50" spans="1:14" ht="36" customHeight="1">
      <c r="A50" s="3962"/>
      <c r="B50" s="2429" t="s">
        <v>531</v>
      </c>
      <c r="C50" s="2441" t="s">
        <v>1011</v>
      </c>
      <c r="D50" s="12"/>
      <c r="E50" s="12"/>
      <c r="F50" s="12"/>
      <c r="G50" s="12"/>
      <c r="H50" s="12"/>
      <c r="I50" s="12"/>
      <c r="J50" s="12"/>
      <c r="K50" s="12"/>
    </row>
    <row r="51" spans="1:14" ht="36" customHeight="1">
      <c r="A51" s="3962"/>
      <c r="B51" s="2429" t="s">
        <v>1083</v>
      </c>
      <c r="C51" s="2441" t="s">
        <v>1006</v>
      </c>
      <c r="D51" s="12"/>
      <c r="E51" s="12"/>
      <c r="F51" s="12"/>
      <c r="G51" s="12"/>
      <c r="H51" s="12"/>
      <c r="I51" s="12"/>
      <c r="J51" s="12"/>
      <c r="K51" s="12"/>
    </row>
    <row r="52" spans="1:14" ht="36" customHeight="1">
      <c r="A52" s="3962"/>
      <c r="B52" s="2429" t="s">
        <v>1084</v>
      </c>
      <c r="C52" s="2441" t="s">
        <v>1007</v>
      </c>
      <c r="D52" s="12"/>
      <c r="E52" s="12"/>
      <c r="F52" s="12"/>
      <c r="G52" s="12"/>
      <c r="H52" s="12"/>
      <c r="I52" s="12"/>
      <c r="J52" s="12"/>
      <c r="K52" s="12"/>
    </row>
    <row r="53" spans="1:14" ht="36" customHeight="1">
      <c r="A53" s="3962"/>
      <c r="B53" s="2429" t="s">
        <v>542</v>
      </c>
      <c r="C53" s="2441" t="s">
        <v>1008</v>
      </c>
      <c r="D53" s="12"/>
      <c r="E53" s="12"/>
      <c r="F53" s="12"/>
      <c r="G53" s="12"/>
      <c r="H53" s="12"/>
      <c r="I53" s="12"/>
      <c r="J53" s="12"/>
      <c r="K53" s="12"/>
    </row>
    <row r="54" spans="1:14" ht="45" customHeight="1">
      <c r="A54" s="3962" t="s">
        <v>769</v>
      </c>
      <c r="B54" s="2749" t="s">
        <v>471</v>
      </c>
      <c r="C54" s="2750" t="s">
        <v>1603</v>
      </c>
      <c r="D54" s="12"/>
      <c r="E54" s="12"/>
      <c r="F54" s="12"/>
      <c r="G54" s="12"/>
      <c r="H54" s="12"/>
      <c r="I54" s="12"/>
      <c r="J54" s="12"/>
      <c r="K54" s="12"/>
      <c r="L54" s="12"/>
      <c r="M54" s="12"/>
      <c r="N54" s="12"/>
    </row>
    <row r="55" spans="1:14" ht="45" customHeight="1">
      <c r="A55" s="3962"/>
      <c r="B55" s="2749" t="s">
        <v>475</v>
      </c>
      <c r="C55" s="3963" t="s">
        <v>1604</v>
      </c>
      <c r="D55" s="12"/>
      <c r="E55" s="12"/>
      <c r="F55" s="12"/>
      <c r="G55" s="12"/>
      <c r="H55" s="12"/>
      <c r="I55" s="12"/>
      <c r="J55" s="12"/>
      <c r="K55" s="12"/>
      <c r="L55" s="12"/>
      <c r="M55" s="12"/>
      <c r="N55" s="12"/>
    </row>
    <row r="56" spans="1:14" ht="45" customHeight="1">
      <c r="A56" s="3962"/>
      <c r="B56" s="2749" t="s">
        <v>477</v>
      </c>
      <c r="C56" s="3964"/>
    </row>
    <row r="57" spans="1:14" ht="45" customHeight="1">
      <c r="A57" s="3962"/>
      <c r="B57" s="2749" t="s">
        <v>481</v>
      </c>
      <c r="C57" s="2750" t="s">
        <v>1605</v>
      </c>
    </row>
    <row r="58" spans="1:14" ht="45" customHeight="1">
      <c r="A58" s="3962"/>
      <c r="B58" s="2749" t="s">
        <v>484</v>
      </c>
      <c r="C58" s="2750" t="s">
        <v>1606</v>
      </c>
    </row>
    <row r="59" spans="1:14" ht="45" customHeight="1">
      <c r="A59" s="3962"/>
      <c r="B59" s="2749" t="s">
        <v>371</v>
      </c>
      <c r="C59" s="2750" t="s">
        <v>1607</v>
      </c>
    </row>
    <row r="60" spans="1:14" ht="36.75" customHeight="1">
      <c r="A60" s="3962"/>
      <c r="B60" s="2749" t="s">
        <v>373</v>
      </c>
      <c r="C60" s="2750" t="s">
        <v>1608</v>
      </c>
    </row>
  </sheetData>
  <sheetProtection formatCells="0" formatColumns="0" formatRows="0" insertColumns="0" insertRows="0" insertHyperlinks="0" deleteColumns="0" deleteRows="0" selectLockedCells="1" sort="0" autoFilter="0" pivotTables="0"/>
  <mergeCells count="15">
    <mergeCell ref="A54:A60"/>
    <mergeCell ref="C55:C56"/>
    <mergeCell ref="B1:C1"/>
    <mergeCell ref="C48:C49"/>
    <mergeCell ref="A3:A14"/>
    <mergeCell ref="A15:A26"/>
    <mergeCell ref="A27:A41"/>
    <mergeCell ref="A42:A47"/>
    <mergeCell ref="A48:A53"/>
    <mergeCell ref="C15:C18"/>
    <mergeCell ref="C34:C37"/>
    <mergeCell ref="C27:C30"/>
    <mergeCell ref="C22:C23"/>
    <mergeCell ref="C10:C11"/>
    <mergeCell ref="C3:C6"/>
  </mergeCells>
  <hyperlinks>
    <hyperlink ref="C10" r:id="rId1"/>
    <hyperlink ref="C12" r:id="rId2"/>
    <hyperlink ref="C22" r:id="rId3"/>
    <hyperlink ref="C24" r:id="rId4"/>
    <hyperlink ref="C34:C37" r:id="rId5" display="D:\2. Data hoa nghiem\1. PP HÓA NGHIỆM CÁC BỒN-XLBM\HCL đặc, loãng-XT.pdf"/>
    <hyperlink ref="C9" r:id="rId6"/>
    <hyperlink ref="C3:C6" r:id="rId7" display="D:\2. Data hoa nghiem\1. PP HÓA NGHIỆM CÁC BỒN-XLBM\JASCO-XB,ĐG-XL-1E.pdf"/>
    <hyperlink ref="C8" r:id="rId8"/>
    <hyperlink ref="C20" r:id="rId9"/>
    <hyperlink ref="C32" r:id="rId10"/>
    <hyperlink ref="C40" r:id="rId11"/>
    <hyperlink ref="C7" r:id="rId12"/>
    <hyperlink ref="C19" r:id="rId13"/>
    <hyperlink ref="C31" r:id="rId14"/>
    <hyperlink ref="C27:C30" r:id="rId15" display="..\..\..\2. Data hoa nghiem\1. PP HÓA NGHIỆM CÁC BỒN-XLBM\XB,ĐG-1F,XT.pdf"/>
    <hyperlink ref="C33" r:id="rId16"/>
    <hyperlink ref="C21" r:id="rId17"/>
    <hyperlink ref="C13" r:id="rId18"/>
    <hyperlink ref="C25" r:id="rId19"/>
    <hyperlink ref="C38" r:id="rId20"/>
    <hyperlink ref="C14" r:id="rId21"/>
    <hyperlink ref="C39" r:id="rId22"/>
    <hyperlink ref="C26" r:id="rId23"/>
    <hyperlink ref="C44" r:id="rId24"/>
    <hyperlink ref="C42" r:id="rId25"/>
    <hyperlink ref="C43" r:id="rId26"/>
    <hyperlink ref="C45" r:id="rId27"/>
    <hyperlink ref="C46" r:id="rId28"/>
    <hyperlink ref="C51" r:id="rId29"/>
    <hyperlink ref="C52" r:id="rId30"/>
    <hyperlink ref="C53" r:id="rId31"/>
    <hyperlink ref="C48" r:id="rId32"/>
    <hyperlink ref="C50" r:id="rId33"/>
    <hyperlink ref="C41" r:id="rId34"/>
    <hyperlink ref="C54" r:id="rId35"/>
    <hyperlink ref="C55:C56" r:id="rId36" display="..\..\..\2. Data hoa nghiem\1. PP HÓA NGHIỆM CÁC BỒN-XLBM\xđ-xb2,3.pdf"/>
    <hyperlink ref="C57" r:id="rId37"/>
    <hyperlink ref="C58" r:id="rId38"/>
    <hyperlink ref="C59" r:id="rId39"/>
    <hyperlink ref="C60" r:id="rId40"/>
  </hyperlinks>
  <printOptions horizontalCentered="1"/>
  <pageMargins left="0.26" right="0.16" top="0.3" bottom="0.45" header="0.17" footer="0.27559055118110237"/>
  <pageSetup paperSize="9" scale="42" orientation="portrait" verticalDpi="300" r:id="rId41"/>
  <headerFooter alignWithMargins="0"/>
  <drawing r:id="rId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19</vt:i4>
      </vt:variant>
    </vt:vector>
  </HeadingPairs>
  <TitlesOfParts>
    <vt:vector size="72"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vt:lpstr>
      <vt:lpstr>4. Zn-Ni KH</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3'.XT-C KH</vt:lpstr>
      <vt:lpstr>3''.XT-C KH</vt:lpstr>
      <vt:lpstr>SOP HOA NGHIEM</vt:lpstr>
      <vt:lpstr>'SOP HOA NGHIEM'!_XM_XT_THUCTE</vt:lpstr>
      <vt:lpstr>_XM_XT_THUCTE</vt:lpstr>
      <vt:lpstr>'1. XL-1E kh'!Print_Area</vt:lpstr>
      <vt:lpstr>'2. XL-1F kh'!Print_Area</vt:lpstr>
      <vt:lpstr>'2.RL E'!Print_Area</vt:lpstr>
      <vt:lpstr>'2.RL E tt'!Print_Area</vt:lpstr>
      <vt:lpstr>'3.RL G'!Print_Area</vt:lpstr>
      <vt:lpstr>'3.RL G tt'!Print_Area</vt:lpstr>
      <vt:lpstr>'3''''.XT-C KH'!Print_Area</vt:lpstr>
      <vt:lpstr>'4. Zn-Ni KH'!Print_Area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2024-08-01T19:44:30Z</cp:lastPrinted>
  <dcterms:created xsi:type="dcterms:W3CDTF">2008-06-29T07:33:16Z</dcterms:created>
  <dcterms:modified xsi:type="dcterms:W3CDTF">2024-08-02T02:39:03Z</dcterms:modified>
</cp:coreProperties>
</file>